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C:\Users\Shakeel Tufail\Desktop\"/>
    </mc:Choice>
  </mc:AlternateContent>
  <xr:revisionPtr revIDLastSave="0" documentId="8_{9EB14779-88B5-46C9-ACFF-27BCCCB49FC4}" xr6:coauthVersionLast="47" xr6:coauthVersionMax="47" xr10:uidLastSave="{00000000-0000-0000-0000-000000000000}"/>
  <bookViews>
    <workbookView xWindow="22932" yWindow="-108" windowWidth="23256" windowHeight="12456" xr2:uid="{00000000-000D-0000-FFFF-FFFF00000000}"/>
  </bookViews>
  <sheets>
    <sheet name="Takeoff Breakdown" sheetId="1" r:id="rId1"/>
  </sheets>
  <definedNames>
    <definedName name="_xlnm._FilterDatabase" localSheetId="0" hidden="1">'Takeoff Breakdown'!$A$11:$R$459</definedName>
    <definedName name="_xlnm.Print_Area" localSheetId="0">'Takeoff Breakdown'!$A$2:$N$460</definedName>
    <definedName name="_xlnm.Print_Titles" localSheetId="0">'Takeoff Breakdown'!$1:$10</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P79" i="1" l="1"/>
  <c r="Q79" i="1"/>
  <c r="P81" i="1"/>
  <c r="Q81" i="1"/>
  <c r="P84" i="1"/>
  <c r="Q84" i="1"/>
  <c r="P330" i="1"/>
  <c r="Q330" i="1"/>
  <c r="P331" i="1"/>
  <c r="Q331" i="1"/>
  <c r="P332" i="1"/>
  <c r="Q332" i="1"/>
  <c r="P333" i="1"/>
  <c r="Q333" i="1"/>
  <c r="P334" i="1"/>
  <c r="Q334" i="1"/>
  <c r="P335" i="1"/>
  <c r="Q335" i="1"/>
  <c r="P336" i="1"/>
  <c r="Q336" i="1"/>
  <c r="P337" i="1"/>
  <c r="Q337" i="1"/>
  <c r="P338" i="1"/>
  <c r="Q338" i="1"/>
  <c r="P339" i="1"/>
  <c r="Q339" i="1"/>
  <c r="P341" i="1"/>
  <c r="Q341" i="1"/>
  <c r="P342" i="1"/>
  <c r="Q342" i="1"/>
  <c r="P343" i="1"/>
  <c r="Q343" i="1"/>
  <c r="P344" i="1"/>
  <c r="Q344" i="1"/>
  <c r="P346" i="1"/>
  <c r="Q346" i="1"/>
  <c r="P347" i="1"/>
  <c r="Q347" i="1"/>
  <c r="P349" i="1"/>
  <c r="Q349" i="1"/>
  <c r="P351" i="1"/>
  <c r="Q351" i="1"/>
  <c r="P352" i="1"/>
  <c r="Q352" i="1"/>
  <c r="P354" i="1"/>
  <c r="Q354" i="1"/>
  <c r="P355" i="1"/>
  <c r="Q355" i="1"/>
  <c r="P357" i="1"/>
  <c r="Q357" i="1"/>
  <c r="P358" i="1"/>
  <c r="Q358" i="1"/>
  <c r="P361" i="1"/>
  <c r="Q361" i="1"/>
  <c r="P362" i="1"/>
  <c r="Q362" i="1"/>
  <c r="P363" i="1"/>
  <c r="Q363" i="1"/>
  <c r="P364" i="1"/>
  <c r="Q364" i="1"/>
  <c r="P366" i="1"/>
  <c r="Q366" i="1"/>
  <c r="P367" i="1"/>
  <c r="Q367" i="1"/>
  <c r="P369" i="1"/>
  <c r="Q369" i="1"/>
  <c r="P370" i="1"/>
  <c r="Q370" i="1"/>
  <c r="P371" i="1"/>
  <c r="Q371" i="1"/>
  <c r="P372" i="1"/>
  <c r="Q372" i="1"/>
  <c r="P374" i="1"/>
  <c r="Q374" i="1"/>
  <c r="P379" i="1"/>
  <c r="Q379" i="1"/>
  <c r="P381" i="1"/>
  <c r="Q381" i="1"/>
  <c r="P382" i="1"/>
  <c r="Q382" i="1"/>
  <c r="P383" i="1"/>
  <c r="Q383" i="1"/>
  <c r="P385" i="1"/>
  <c r="Q385" i="1"/>
  <c r="P387" i="1"/>
  <c r="Q387" i="1"/>
  <c r="P388" i="1"/>
  <c r="Q388" i="1"/>
  <c r="P390" i="1"/>
  <c r="Q390" i="1"/>
  <c r="Q391" i="1"/>
  <c r="P392" i="1"/>
  <c r="Q392" i="1"/>
  <c r="Q395" i="1"/>
  <c r="P396" i="1"/>
  <c r="Q396" i="1"/>
  <c r="P397" i="1"/>
  <c r="Q397" i="1"/>
  <c r="P399" i="1"/>
  <c r="Q399" i="1"/>
  <c r="P401" i="1"/>
  <c r="Q401" i="1"/>
  <c r="P403" i="1"/>
  <c r="Q403" i="1"/>
  <c r="P406" i="1"/>
  <c r="Q406" i="1"/>
  <c r="P407" i="1"/>
  <c r="Q407" i="1"/>
  <c r="P410" i="1"/>
  <c r="Q410" i="1"/>
  <c r="P411" i="1"/>
  <c r="Q411" i="1"/>
  <c r="P412" i="1"/>
  <c r="Q412" i="1"/>
  <c r="P413" i="1"/>
  <c r="Q413" i="1"/>
  <c r="P414" i="1"/>
  <c r="Q414" i="1"/>
  <c r="P415" i="1"/>
  <c r="Q415" i="1"/>
  <c r="P416" i="1"/>
  <c r="Q416" i="1"/>
  <c r="P418" i="1"/>
  <c r="Q418" i="1"/>
  <c r="P419" i="1"/>
  <c r="Q419" i="1"/>
  <c r="P423" i="1"/>
  <c r="Q423" i="1"/>
  <c r="P424" i="1"/>
  <c r="Q424" i="1"/>
  <c r="P426" i="1"/>
  <c r="Q426" i="1"/>
  <c r="P427" i="1"/>
  <c r="Q427" i="1"/>
  <c r="J83" i="1"/>
  <c r="J82" i="1"/>
  <c r="K82" i="1" s="1"/>
  <c r="J80" i="1"/>
  <c r="K80" i="1" s="1"/>
  <c r="M80" i="1" s="1"/>
  <c r="N80" i="1" s="1"/>
  <c r="A331" i="1"/>
  <c r="A336" i="1"/>
  <c r="A430" i="1"/>
  <c r="K429" i="1"/>
  <c r="M429" i="1" s="1"/>
  <c r="N429" i="1" s="1"/>
  <c r="H429" i="1"/>
  <c r="Q429" i="1" s="1"/>
  <c r="K428" i="1"/>
  <c r="M428" i="1" s="1"/>
  <c r="H428" i="1"/>
  <c r="Q428" i="1" s="1"/>
  <c r="K427" i="1"/>
  <c r="M427" i="1" s="1"/>
  <c r="H427" i="1"/>
  <c r="A426" i="1"/>
  <c r="K425" i="1"/>
  <c r="M425" i="1" s="1"/>
  <c r="H425" i="1"/>
  <c r="Q425" i="1" s="1"/>
  <c r="A424" i="1"/>
  <c r="A423" i="1"/>
  <c r="K422" i="1"/>
  <c r="M422" i="1" s="1"/>
  <c r="H422" i="1"/>
  <c r="Q422" i="1" s="1"/>
  <c r="K421" i="1"/>
  <c r="M421" i="1" s="1"/>
  <c r="H421" i="1"/>
  <c r="N421" i="1" s="1"/>
  <c r="K420" i="1"/>
  <c r="M420" i="1" s="1"/>
  <c r="H420" i="1"/>
  <c r="Q420" i="1" s="1"/>
  <c r="K419" i="1"/>
  <c r="M419" i="1" s="1"/>
  <c r="H419" i="1"/>
  <c r="N419" i="1" s="1"/>
  <c r="A418" i="1"/>
  <c r="K417" i="1"/>
  <c r="M417" i="1" s="1"/>
  <c r="H417" i="1"/>
  <c r="N417" i="1" s="1"/>
  <c r="A416" i="1"/>
  <c r="A415" i="1"/>
  <c r="A414" i="1"/>
  <c r="A413" i="1"/>
  <c r="A412" i="1"/>
  <c r="K411" i="1"/>
  <c r="M411" i="1" s="1"/>
  <c r="H411" i="1"/>
  <c r="A410" i="1"/>
  <c r="K409" i="1"/>
  <c r="M409" i="1" s="1"/>
  <c r="H409" i="1"/>
  <c r="Q409" i="1" s="1"/>
  <c r="K408" i="1"/>
  <c r="M408" i="1" s="1"/>
  <c r="H408" i="1"/>
  <c r="Q408" i="1" s="1"/>
  <c r="K407" i="1"/>
  <c r="M407" i="1" s="1"/>
  <c r="H407" i="1"/>
  <c r="A406" i="1"/>
  <c r="K405" i="1"/>
  <c r="M405" i="1" s="1"/>
  <c r="H405" i="1"/>
  <c r="Q405" i="1" s="1"/>
  <c r="K404" i="1"/>
  <c r="M404" i="1" s="1"/>
  <c r="H404" i="1"/>
  <c r="K403" i="1"/>
  <c r="M403" i="1" s="1"/>
  <c r="H403" i="1"/>
  <c r="K402" i="1"/>
  <c r="M402" i="1" s="1"/>
  <c r="H402" i="1"/>
  <c r="Q402" i="1" s="1"/>
  <c r="A401" i="1"/>
  <c r="K400" i="1"/>
  <c r="M400" i="1" s="1"/>
  <c r="H400" i="1"/>
  <c r="Q400" i="1" s="1"/>
  <c r="A399" i="1"/>
  <c r="K398" i="1"/>
  <c r="M398" i="1" s="1"/>
  <c r="H398" i="1"/>
  <c r="Q398" i="1" s="1"/>
  <c r="A397" i="1"/>
  <c r="A396" i="1"/>
  <c r="K395" i="1"/>
  <c r="M395" i="1" s="1"/>
  <c r="H395" i="1"/>
  <c r="P395" i="1" s="1"/>
  <c r="K394" i="1"/>
  <c r="M394" i="1" s="1"/>
  <c r="H394" i="1"/>
  <c r="Q394" i="1" s="1"/>
  <c r="K393" i="1"/>
  <c r="M393" i="1" s="1"/>
  <c r="H393" i="1"/>
  <c r="Q393" i="1" s="1"/>
  <c r="A392" i="1"/>
  <c r="K391" i="1"/>
  <c r="M391" i="1" s="1"/>
  <c r="H391" i="1"/>
  <c r="N391" i="1" s="1"/>
  <c r="A390" i="1"/>
  <c r="K389" i="1"/>
  <c r="M389" i="1" s="1"/>
  <c r="H389" i="1"/>
  <c r="Q389" i="1" s="1"/>
  <c r="A388" i="1"/>
  <c r="A387" i="1"/>
  <c r="K386" i="1"/>
  <c r="M386" i="1" s="1"/>
  <c r="H386" i="1"/>
  <c r="Q386" i="1" s="1"/>
  <c r="A385" i="1"/>
  <c r="H384" i="1"/>
  <c r="G384" i="1"/>
  <c r="A384" i="1" s="1"/>
  <c r="A383" i="1"/>
  <c r="A382" i="1"/>
  <c r="A381" i="1"/>
  <c r="K380" i="1"/>
  <c r="M380" i="1" s="1"/>
  <c r="F380" i="1"/>
  <c r="H380" i="1" s="1"/>
  <c r="Q380" i="1" s="1"/>
  <c r="A379" i="1"/>
  <c r="K378" i="1"/>
  <c r="M378" i="1" s="1"/>
  <c r="H378" i="1"/>
  <c r="N378" i="1" s="1"/>
  <c r="K377" i="1"/>
  <c r="M377" i="1" s="1"/>
  <c r="H377" i="1"/>
  <c r="Q377" i="1" s="1"/>
  <c r="H376" i="1"/>
  <c r="P376" i="1" s="1"/>
  <c r="H375" i="1"/>
  <c r="Q375" i="1" s="1"/>
  <c r="A374" i="1"/>
  <c r="H373" i="1"/>
  <c r="P373" i="1" s="1"/>
  <c r="A372" i="1"/>
  <c r="A371" i="1"/>
  <c r="L370" i="1"/>
  <c r="K370" i="1"/>
  <c r="H370" i="1"/>
  <c r="A369" i="1"/>
  <c r="K368" i="1"/>
  <c r="M368" i="1" s="1"/>
  <c r="H368" i="1"/>
  <c r="N368" i="1" s="1"/>
  <c r="A367" i="1"/>
  <c r="A366" i="1"/>
  <c r="K365" i="1"/>
  <c r="M365" i="1" s="1"/>
  <c r="H365" i="1"/>
  <c r="Q365" i="1" s="1"/>
  <c r="A364" i="1"/>
  <c r="A363" i="1"/>
  <c r="K362" i="1"/>
  <c r="M362" i="1" s="1"/>
  <c r="H362" i="1"/>
  <c r="A361" i="1"/>
  <c r="M360" i="1"/>
  <c r="N360" i="1" s="1"/>
  <c r="K360" i="1"/>
  <c r="P360" i="1" s="1"/>
  <c r="H360" i="1"/>
  <c r="Q360" i="1" s="1"/>
  <c r="K359" i="1"/>
  <c r="M359" i="1" s="1"/>
  <c r="H359" i="1"/>
  <c r="Q359" i="1" s="1"/>
  <c r="A358" i="1"/>
  <c r="A357" i="1"/>
  <c r="K356" i="1"/>
  <c r="M356" i="1" s="1"/>
  <c r="H356" i="1"/>
  <c r="Q356" i="1" s="1"/>
  <c r="A355" i="1"/>
  <c r="A354" i="1"/>
  <c r="K353" i="1"/>
  <c r="M353" i="1" s="1"/>
  <c r="H353" i="1"/>
  <c r="Q353" i="1" s="1"/>
  <c r="A352" i="1"/>
  <c r="A351" i="1"/>
  <c r="K350" i="1"/>
  <c r="M350" i="1" s="1"/>
  <c r="H350" i="1"/>
  <c r="N350" i="1" s="1"/>
  <c r="A349" i="1"/>
  <c r="K348" i="1"/>
  <c r="M348" i="1" s="1"/>
  <c r="H348" i="1"/>
  <c r="N348" i="1" s="1"/>
  <c r="A347" i="1"/>
  <c r="A346" i="1"/>
  <c r="K345" i="1"/>
  <c r="M345" i="1" s="1"/>
  <c r="H345" i="1"/>
  <c r="Q345" i="1" s="1"/>
  <c r="A344" i="1"/>
  <c r="A343" i="1"/>
  <c r="K342" i="1"/>
  <c r="M342" i="1" s="1"/>
  <c r="H342" i="1"/>
  <c r="A341" i="1"/>
  <c r="K340" i="1"/>
  <c r="M340" i="1" s="1"/>
  <c r="H340" i="1"/>
  <c r="Q340" i="1" s="1"/>
  <c r="A339" i="1"/>
  <c r="A338" i="1"/>
  <c r="A337" i="1"/>
  <c r="A335" i="1"/>
  <c r="M334" i="1"/>
  <c r="K334" i="1"/>
  <c r="H334" i="1"/>
  <c r="A333" i="1"/>
  <c r="A332" i="1"/>
  <c r="K83" i="1"/>
  <c r="M83" i="1" s="1"/>
  <c r="H83" i="1"/>
  <c r="Q83" i="1" s="1"/>
  <c r="H82" i="1"/>
  <c r="Q82" i="1" s="1"/>
  <c r="A81" i="1"/>
  <c r="H80" i="1"/>
  <c r="Q80" i="1" s="1"/>
  <c r="A79" i="1"/>
  <c r="F24" i="1"/>
  <c r="L109" i="1"/>
  <c r="I256" i="1"/>
  <c r="K238" i="1"/>
  <c r="K237" i="1"/>
  <c r="K236" i="1"/>
  <c r="K233" i="1"/>
  <c r="K232" i="1"/>
  <c r="K231" i="1"/>
  <c r="K230" i="1"/>
  <c r="K228" i="1"/>
  <c r="K227" i="1"/>
  <c r="K226" i="1"/>
  <c r="K225" i="1"/>
  <c r="K223" i="1"/>
  <c r="K222" i="1"/>
  <c r="K221" i="1"/>
  <c r="K220" i="1"/>
  <c r="K218" i="1"/>
  <c r="K217" i="1"/>
  <c r="K216" i="1"/>
  <c r="K215" i="1"/>
  <c r="K213" i="1"/>
  <c r="K212" i="1"/>
  <c r="K211" i="1"/>
  <c r="L315" i="1"/>
  <c r="I190" i="1"/>
  <c r="I191" i="1"/>
  <c r="L191" i="1"/>
  <c r="L190" i="1"/>
  <c r="I189" i="1"/>
  <c r="L189" i="1"/>
  <c r="J195" i="1"/>
  <c r="J192" i="1"/>
  <c r="J191" i="1"/>
  <c r="J190" i="1"/>
  <c r="L178" i="1"/>
  <c r="I178" i="1"/>
  <c r="J184" i="1"/>
  <c r="J183" i="1"/>
  <c r="J179" i="1"/>
  <c r="J178" i="1"/>
  <c r="J177" i="1"/>
  <c r="J176" i="1"/>
  <c r="J175" i="1"/>
  <c r="J174" i="1"/>
  <c r="J172" i="1"/>
  <c r="J171" i="1"/>
  <c r="J170" i="1"/>
  <c r="J169" i="1"/>
  <c r="J168" i="1"/>
  <c r="J166" i="1"/>
  <c r="J162" i="1"/>
  <c r="J161" i="1"/>
  <c r="J160" i="1"/>
  <c r="I147" i="1"/>
  <c r="L147" i="1"/>
  <c r="I130" i="1"/>
  <c r="L130" i="1"/>
  <c r="I121" i="1"/>
  <c r="L121" i="1"/>
  <c r="L24" i="1"/>
  <c r="M82" i="1" l="1"/>
  <c r="P82" i="1"/>
  <c r="N365" i="1"/>
  <c r="N404" i="1"/>
  <c r="P428" i="1"/>
  <c r="P420" i="1"/>
  <c r="P408" i="1"/>
  <c r="P404" i="1"/>
  <c r="P400" i="1"/>
  <c r="P375" i="1"/>
  <c r="P359" i="1"/>
  <c r="Q350" i="1"/>
  <c r="N405" i="1"/>
  <c r="Q373" i="1"/>
  <c r="Q378" i="1"/>
  <c r="N386" i="1"/>
  <c r="N402" i="1"/>
  <c r="P422" i="1"/>
  <c r="P402" i="1"/>
  <c r="P398" i="1"/>
  <c r="P394" i="1"/>
  <c r="P386" i="1"/>
  <c r="P377" i="1"/>
  <c r="P365" i="1"/>
  <c r="P353" i="1"/>
  <c r="P345" i="1"/>
  <c r="N409" i="1"/>
  <c r="P350" i="1"/>
  <c r="N345" i="1"/>
  <c r="Q421" i="1"/>
  <c r="Q417" i="1"/>
  <c r="Q376" i="1"/>
  <c r="Q368" i="1"/>
  <c r="Q348" i="1"/>
  <c r="P80" i="1"/>
  <c r="P429" i="1"/>
  <c r="P425" i="1"/>
  <c r="P421" i="1"/>
  <c r="P417" i="1"/>
  <c r="P409" i="1"/>
  <c r="P405" i="1"/>
  <c r="P393" i="1"/>
  <c r="P389" i="1"/>
  <c r="P380" i="1"/>
  <c r="P368" i="1"/>
  <c r="P356" i="1"/>
  <c r="P348" i="1"/>
  <c r="P340" i="1"/>
  <c r="P391" i="1"/>
  <c r="P378" i="1"/>
  <c r="N393" i="1"/>
  <c r="Q404" i="1"/>
  <c r="P83" i="1"/>
  <c r="N340" i="1"/>
  <c r="N381" i="1" s="1"/>
  <c r="N353" i="1"/>
  <c r="N334" i="1"/>
  <c r="N335" i="1" s="1"/>
  <c r="N389" i="1"/>
  <c r="N407" i="1"/>
  <c r="N408" i="1"/>
  <c r="N356" i="1"/>
  <c r="N377" i="1"/>
  <c r="N395" i="1"/>
  <c r="N398" i="1"/>
  <c r="N420" i="1"/>
  <c r="N430" i="1" s="1"/>
  <c r="N422" i="1"/>
  <c r="N427" i="1"/>
  <c r="N400" i="1"/>
  <c r="M370" i="1"/>
  <c r="N370" i="1" s="1"/>
  <c r="N428" i="1"/>
  <c r="N359" i="1"/>
  <c r="N380" i="1"/>
  <c r="N342" i="1"/>
  <c r="N362" i="1"/>
  <c r="N394" i="1"/>
  <c r="N403" i="1"/>
  <c r="N411" i="1"/>
  <c r="N425" i="1"/>
  <c r="N82" i="1"/>
  <c r="N83" i="1"/>
  <c r="J153" i="1"/>
  <c r="J151" i="1"/>
  <c r="J150" i="1"/>
  <c r="J147" i="1"/>
  <c r="J144" i="1"/>
  <c r="K144" i="1" s="1"/>
  <c r="M144" i="1" s="1"/>
  <c r="J143" i="1"/>
  <c r="J140" i="1"/>
  <c r="J139" i="1"/>
  <c r="J137" i="1"/>
  <c r="J136" i="1"/>
  <c r="J132" i="1"/>
  <c r="J131" i="1"/>
  <c r="J123" i="1"/>
  <c r="J122" i="1"/>
  <c r="J121" i="1"/>
  <c r="J118" i="1"/>
  <c r="J116" i="1"/>
  <c r="J115" i="1"/>
  <c r="K115" i="1" s="1"/>
  <c r="M115" i="1" s="1"/>
  <c r="J113" i="1"/>
  <c r="J112" i="1"/>
  <c r="J109" i="1"/>
  <c r="K109" i="1" s="1"/>
  <c r="M109" i="1" s="1"/>
  <c r="J108" i="1"/>
  <c r="K108" i="1" s="1"/>
  <c r="J107" i="1"/>
  <c r="K107" i="1" s="1"/>
  <c r="J106" i="1"/>
  <c r="J99" i="1"/>
  <c r="J97" i="1"/>
  <c r="J95" i="1"/>
  <c r="J94" i="1"/>
  <c r="J93" i="1"/>
  <c r="J92" i="1"/>
  <c r="J91" i="1"/>
  <c r="J90" i="1"/>
  <c r="J78" i="1"/>
  <c r="J75" i="1"/>
  <c r="J74" i="1"/>
  <c r="J73" i="1"/>
  <c r="J72" i="1"/>
  <c r="J71" i="1"/>
  <c r="J70" i="1"/>
  <c r="J69" i="1"/>
  <c r="J66" i="1"/>
  <c r="K66" i="1" s="1"/>
  <c r="M66" i="1" s="1"/>
  <c r="J65" i="1"/>
  <c r="K65" i="1" s="1"/>
  <c r="M65" i="1" s="1"/>
  <c r="J64" i="1"/>
  <c r="J63" i="1"/>
  <c r="J62" i="1"/>
  <c r="J61" i="1"/>
  <c r="J58" i="1"/>
  <c r="K58" i="1" s="1"/>
  <c r="M58" i="1" s="1"/>
  <c r="J57" i="1"/>
  <c r="K57" i="1" s="1"/>
  <c r="M57" i="1" s="1"/>
  <c r="J56" i="1"/>
  <c r="J55" i="1"/>
  <c r="J54" i="1"/>
  <c r="J53" i="1"/>
  <c r="J52" i="1"/>
  <c r="J51" i="1"/>
  <c r="J50" i="1"/>
  <c r="J49" i="1"/>
  <c r="J48" i="1"/>
  <c r="J47" i="1"/>
  <c r="J46" i="1"/>
  <c r="J45" i="1"/>
  <c r="J44" i="1"/>
  <c r="J43" i="1"/>
  <c r="J42" i="1"/>
  <c r="J41" i="1"/>
  <c r="J40" i="1"/>
  <c r="J39" i="1"/>
  <c r="J38" i="1"/>
  <c r="J37" i="1"/>
  <c r="J36" i="1"/>
  <c r="J35" i="1"/>
  <c r="J34" i="1"/>
  <c r="J33" i="1"/>
  <c r="J32" i="1"/>
  <c r="J31" i="1"/>
  <c r="J30" i="1"/>
  <c r="J29" i="1"/>
  <c r="J28" i="1"/>
  <c r="J27" i="1"/>
  <c r="J25" i="1"/>
  <c r="Q448" i="1"/>
  <c r="P448" i="1"/>
  <c r="Q447" i="1"/>
  <c r="P447" i="1"/>
  <c r="Q446" i="1"/>
  <c r="P446" i="1"/>
  <c r="Q442" i="1"/>
  <c r="P442" i="1"/>
  <c r="Q441" i="1"/>
  <c r="P441" i="1"/>
  <c r="P26" i="1"/>
  <c r="Q26" i="1"/>
  <c r="P59" i="1"/>
  <c r="Q59" i="1"/>
  <c r="P60" i="1"/>
  <c r="Q60" i="1"/>
  <c r="P67" i="1"/>
  <c r="Q67" i="1"/>
  <c r="P68" i="1"/>
  <c r="Q68" i="1"/>
  <c r="P76" i="1"/>
  <c r="Q76" i="1"/>
  <c r="P77" i="1"/>
  <c r="Q77" i="1"/>
  <c r="P85" i="1"/>
  <c r="Q85" i="1"/>
  <c r="P86" i="1"/>
  <c r="Q86" i="1"/>
  <c r="P87" i="1"/>
  <c r="Q87" i="1"/>
  <c r="P88" i="1"/>
  <c r="Q88" i="1"/>
  <c r="P96" i="1"/>
  <c r="Q96" i="1"/>
  <c r="P98" i="1"/>
  <c r="Q98" i="1"/>
  <c r="P100" i="1"/>
  <c r="Q100" i="1"/>
  <c r="P101" i="1"/>
  <c r="Q101" i="1"/>
  <c r="P102" i="1"/>
  <c r="Q102" i="1"/>
  <c r="P103" i="1"/>
  <c r="Q103" i="1"/>
  <c r="P104" i="1"/>
  <c r="Q104" i="1"/>
  <c r="P110" i="1"/>
  <c r="Q110" i="1"/>
  <c r="P111" i="1"/>
  <c r="Q111" i="1"/>
  <c r="P114" i="1"/>
  <c r="Q114" i="1"/>
  <c r="P117" i="1"/>
  <c r="Q117" i="1"/>
  <c r="P119" i="1"/>
  <c r="Q119" i="1"/>
  <c r="P120" i="1"/>
  <c r="Q120" i="1"/>
  <c r="P124" i="1"/>
  <c r="Q124" i="1"/>
  <c r="P125" i="1"/>
  <c r="Q125" i="1"/>
  <c r="P126" i="1"/>
  <c r="Q126" i="1"/>
  <c r="P127" i="1"/>
  <c r="Q127" i="1"/>
  <c r="P128" i="1"/>
  <c r="Q128" i="1"/>
  <c r="P129" i="1"/>
  <c r="Q129" i="1"/>
  <c r="P133" i="1"/>
  <c r="Q133" i="1"/>
  <c r="P134" i="1"/>
  <c r="Q134" i="1"/>
  <c r="P138" i="1"/>
  <c r="Q138" i="1"/>
  <c r="P141" i="1"/>
  <c r="Q141" i="1"/>
  <c r="P142" i="1"/>
  <c r="Q142" i="1"/>
  <c r="P145" i="1"/>
  <c r="Q145" i="1"/>
  <c r="P146" i="1"/>
  <c r="Q146" i="1"/>
  <c r="P148" i="1"/>
  <c r="Q148" i="1"/>
  <c r="P149" i="1"/>
  <c r="Q149" i="1"/>
  <c r="P152" i="1"/>
  <c r="Q152" i="1"/>
  <c r="P154" i="1"/>
  <c r="Q154" i="1"/>
  <c r="P155" i="1"/>
  <c r="Q155" i="1"/>
  <c r="P156" i="1"/>
  <c r="Q156" i="1"/>
  <c r="P157" i="1"/>
  <c r="Q157" i="1"/>
  <c r="P158" i="1"/>
  <c r="Q158" i="1"/>
  <c r="P163" i="1"/>
  <c r="Q163" i="1"/>
  <c r="P164" i="1"/>
  <c r="Q164" i="1"/>
  <c r="P165" i="1"/>
  <c r="Q165" i="1"/>
  <c r="P167" i="1"/>
  <c r="Q167" i="1"/>
  <c r="P173" i="1"/>
  <c r="Q173" i="1"/>
  <c r="P180" i="1"/>
  <c r="Q180" i="1"/>
  <c r="P181" i="1"/>
  <c r="Q181" i="1"/>
  <c r="P182" i="1"/>
  <c r="Q182" i="1"/>
  <c r="P185" i="1"/>
  <c r="Q185" i="1"/>
  <c r="P186" i="1"/>
  <c r="Q186" i="1"/>
  <c r="P187" i="1"/>
  <c r="Q187" i="1"/>
  <c r="P188" i="1"/>
  <c r="Q188" i="1"/>
  <c r="P193" i="1"/>
  <c r="Q193" i="1"/>
  <c r="P194" i="1"/>
  <c r="Q194" i="1"/>
  <c r="P196" i="1"/>
  <c r="Q196" i="1"/>
  <c r="P197" i="1"/>
  <c r="Q197" i="1"/>
  <c r="P198" i="1"/>
  <c r="Q198" i="1"/>
  <c r="P199" i="1"/>
  <c r="Q199" i="1"/>
  <c r="P201" i="1"/>
  <c r="Q201" i="1"/>
  <c r="P202" i="1"/>
  <c r="Q202" i="1"/>
  <c r="P203" i="1"/>
  <c r="Q203" i="1"/>
  <c r="P240" i="1"/>
  <c r="Q240" i="1"/>
  <c r="P241" i="1"/>
  <c r="Q241" i="1"/>
  <c r="P242" i="1"/>
  <c r="Q242" i="1"/>
  <c r="P243" i="1"/>
  <c r="Q243" i="1"/>
  <c r="P244" i="1"/>
  <c r="Q244" i="1"/>
  <c r="P246" i="1"/>
  <c r="Q246" i="1"/>
  <c r="P247" i="1"/>
  <c r="Q247" i="1"/>
  <c r="P250" i="1"/>
  <c r="Q250" i="1"/>
  <c r="P251" i="1"/>
  <c r="Q251" i="1"/>
  <c r="P252" i="1"/>
  <c r="Q252" i="1"/>
  <c r="P253" i="1"/>
  <c r="Q253" i="1"/>
  <c r="P259" i="1"/>
  <c r="Q259" i="1"/>
  <c r="P261" i="1"/>
  <c r="Q261" i="1"/>
  <c r="P262" i="1"/>
  <c r="Q262" i="1"/>
  <c r="P263" i="1"/>
  <c r="Q263" i="1"/>
  <c r="P270" i="1"/>
  <c r="Q270" i="1"/>
  <c r="P271" i="1"/>
  <c r="Q271" i="1"/>
  <c r="P276" i="1"/>
  <c r="Q276" i="1"/>
  <c r="P277" i="1"/>
  <c r="Q277" i="1"/>
  <c r="P278" i="1"/>
  <c r="Q278" i="1"/>
  <c r="P284" i="1"/>
  <c r="Q284" i="1"/>
  <c r="P285" i="1"/>
  <c r="Q285" i="1"/>
  <c r="P286" i="1"/>
  <c r="Q286" i="1"/>
  <c r="P288" i="1"/>
  <c r="Q288" i="1"/>
  <c r="P292" i="1"/>
  <c r="Q292" i="1"/>
  <c r="P293" i="1"/>
  <c r="Q293" i="1"/>
  <c r="P295" i="1"/>
  <c r="Q295" i="1"/>
  <c r="P300" i="1"/>
  <c r="Q300" i="1"/>
  <c r="P302" i="1"/>
  <c r="Q302" i="1"/>
  <c r="P303" i="1"/>
  <c r="Q303" i="1"/>
  <c r="P304" i="1"/>
  <c r="Q304" i="1"/>
  <c r="P307" i="1"/>
  <c r="Q307" i="1"/>
  <c r="P308" i="1"/>
  <c r="Q308" i="1"/>
  <c r="P309" i="1"/>
  <c r="Q309" i="1"/>
  <c r="P310" i="1"/>
  <c r="Q310" i="1"/>
  <c r="P311" i="1"/>
  <c r="Q311" i="1"/>
  <c r="P312" i="1"/>
  <c r="Q312" i="1"/>
  <c r="P314" i="1"/>
  <c r="Q314" i="1"/>
  <c r="P316" i="1"/>
  <c r="Q316" i="1"/>
  <c r="P317" i="1"/>
  <c r="Q317" i="1"/>
  <c r="P318" i="1"/>
  <c r="Q318" i="1"/>
  <c r="P319" i="1"/>
  <c r="Q319" i="1"/>
  <c r="P322" i="1"/>
  <c r="Q322" i="1"/>
  <c r="P323" i="1"/>
  <c r="Q323" i="1"/>
  <c r="P324" i="1"/>
  <c r="Q324" i="1"/>
  <c r="P325" i="1"/>
  <c r="Q325" i="1"/>
  <c r="A19" i="1"/>
  <c r="A20" i="1"/>
  <c r="A21" i="1"/>
  <c r="A22" i="1"/>
  <c r="A23" i="1"/>
  <c r="A26" i="1"/>
  <c r="A59" i="1"/>
  <c r="A60" i="1"/>
  <c r="A67" i="1"/>
  <c r="A68" i="1"/>
  <c r="A76" i="1"/>
  <c r="A77" i="1"/>
  <c r="A84" i="1"/>
  <c r="A85" i="1"/>
  <c r="A86" i="1"/>
  <c r="A87" i="1"/>
  <c r="A88" i="1"/>
  <c r="A96" i="1"/>
  <c r="A98" i="1"/>
  <c r="A100" i="1"/>
  <c r="A101" i="1"/>
  <c r="A102" i="1"/>
  <c r="A103" i="1"/>
  <c r="A104" i="1"/>
  <c r="A110" i="1"/>
  <c r="A111" i="1"/>
  <c r="A114" i="1"/>
  <c r="A117" i="1"/>
  <c r="A119" i="1"/>
  <c r="A120" i="1"/>
  <c r="A124" i="1"/>
  <c r="A125" i="1"/>
  <c r="A126" i="1"/>
  <c r="A127" i="1"/>
  <c r="A128" i="1"/>
  <c r="A129" i="1"/>
  <c r="A133" i="1"/>
  <c r="A134" i="1"/>
  <c r="A141" i="1"/>
  <c r="A142" i="1"/>
  <c r="A145" i="1"/>
  <c r="A146" i="1"/>
  <c r="A148" i="1"/>
  <c r="A149" i="1"/>
  <c r="A152" i="1"/>
  <c r="A154" i="1"/>
  <c r="A155" i="1"/>
  <c r="A156" i="1"/>
  <c r="A157" i="1"/>
  <c r="A158" i="1"/>
  <c r="A163" i="1"/>
  <c r="A164" i="1"/>
  <c r="A165" i="1"/>
  <c r="A167" i="1"/>
  <c r="A173" i="1"/>
  <c r="A180" i="1"/>
  <c r="A181" i="1"/>
  <c r="A182" i="1"/>
  <c r="A185" i="1"/>
  <c r="A186" i="1"/>
  <c r="A187" i="1"/>
  <c r="A188" i="1"/>
  <c r="A193" i="1"/>
  <c r="A194" i="1"/>
  <c r="A196" i="1"/>
  <c r="A197" i="1"/>
  <c r="A198" i="1"/>
  <c r="A199" i="1"/>
  <c r="A201" i="1"/>
  <c r="A202" i="1"/>
  <c r="A203" i="1"/>
  <c r="A240" i="1"/>
  <c r="A241" i="1"/>
  <c r="A242" i="1"/>
  <c r="A243" i="1"/>
  <c r="A244" i="1"/>
  <c r="A246" i="1"/>
  <c r="A247" i="1"/>
  <c r="A250" i="1"/>
  <c r="A251" i="1"/>
  <c r="A252" i="1"/>
  <c r="A253" i="1"/>
  <c r="A259" i="1"/>
  <c r="A261" i="1"/>
  <c r="A262" i="1"/>
  <c r="A263" i="1"/>
  <c r="A270" i="1"/>
  <c r="A271" i="1"/>
  <c r="A276" i="1"/>
  <c r="A277" i="1"/>
  <c r="A278" i="1"/>
  <c r="A284" i="1"/>
  <c r="A285" i="1"/>
  <c r="A286" i="1"/>
  <c r="A288" i="1"/>
  <c r="A292" i="1"/>
  <c r="A293" i="1"/>
  <c r="A295" i="1"/>
  <c r="A300" i="1"/>
  <c r="A302" i="1"/>
  <c r="A303" i="1"/>
  <c r="A304" i="1"/>
  <c r="A307" i="1"/>
  <c r="A308" i="1"/>
  <c r="A309" i="1"/>
  <c r="A310" i="1"/>
  <c r="A311" i="1"/>
  <c r="A312" i="1"/>
  <c r="A314" i="1"/>
  <c r="A316" i="1"/>
  <c r="A317" i="1"/>
  <c r="A318" i="1"/>
  <c r="A319" i="1"/>
  <c r="A322" i="1"/>
  <c r="A323" i="1"/>
  <c r="A324" i="1"/>
  <c r="A325" i="1"/>
  <c r="F57" i="1"/>
  <c r="H57" i="1" s="1"/>
  <c r="Q57" i="1" s="1"/>
  <c r="F443" i="1"/>
  <c r="H443" i="1" s="1"/>
  <c r="Q443" i="1" s="1"/>
  <c r="F301" i="1"/>
  <c r="F269" i="1"/>
  <c r="F267" i="1"/>
  <c r="H267" i="1" s="1"/>
  <c r="Q267" i="1" s="1"/>
  <c r="F265" i="1"/>
  <c r="H264" i="1"/>
  <c r="Q264" i="1" s="1"/>
  <c r="K264" i="1"/>
  <c r="H18" i="1"/>
  <c r="N18" i="1" s="1"/>
  <c r="F44" i="1"/>
  <c r="H66" i="1"/>
  <c r="Q66" i="1" s="1"/>
  <c r="A446" i="1"/>
  <c r="F287" i="1"/>
  <c r="H287" i="1" s="1"/>
  <c r="Q287" i="1" s="1"/>
  <c r="K287" i="1"/>
  <c r="M287" i="1" s="1"/>
  <c r="K256" i="1"/>
  <c r="M256" i="1" s="1"/>
  <c r="H256" i="1"/>
  <c r="Q256" i="1" s="1"/>
  <c r="K267" i="1"/>
  <c r="M267" i="1" s="1"/>
  <c r="F299" i="1"/>
  <c r="H299" i="1" s="1"/>
  <c r="Q299" i="1" s="1"/>
  <c r="K299" i="1"/>
  <c r="M299" i="1" s="1"/>
  <c r="A450" i="1"/>
  <c r="F445" i="1"/>
  <c r="H445" i="1" s="1"/>
  <c r="Q445" i="1" s="1"/>
  <c r="F444" i="1"/>
  <c r="H444" i="1" s="1"/>
  <c r="Q444" i="1" s="1"/>
  <c r="A439" i="1"/>
  <c r="A449" i="1"/>
  <c r="K445" i="1"/>
  <c r="M445" i="1" s="1"/>
  <c r="K444" i="1"/>
  <c r="M444" i="1" s="1"/>
  <c r="K443" i="1"/>
  <c r="M443" i="1" s="1"/>
  <c r="A442" i="1"/>
  <c r="A441" i="1"/>
  <c r="A440" i="1"/>
  <c r="A438" i="1"/>
  <c r="K327" i="1"/>
  <c r="M327" i="1" s="1"/>
  <c r="H327" i="1"/>
  <c r="Q327" i="1" s="1"/>
  <c r="K328" i="1"/>
  <c r="M328" i="1" s="1"/>
  <c r="H328" i="1"/>
  <c r="Q328" i="1" s="1"/>
  <c r="K321" i="1"/>
  <c r="M321" i="1" s="1"/>
  <c r="H321" i="1"/>
  <c r="Q321" i="1" s="1"/>
  <c r="K320" i="1"/>
  <c r="M320" i="1" s="1"/>
  <c r="H320" i="1"/>
  <c r="Q320" i="1" s="1"/>
  <c r="K315" i="1"/>
  <c r="M315" i="1" s="1"/>
  <c r="H315" i="1"/>
  <c r="Q315" i="1" s="1"/>
  <c r="K313" i="1"/>
  <c r="M313" i="1" s="1"/>
  <c r="H313" i="1"/>
  <c r="Q313" i="1" s="1"/>
  <c r="F266" i="1"/>
  <c r="H115" i="1"/>
  <c r="Q115" i="1" s="1"/>
  <c r="H144" i="1"/>
  <c r="Q144" i="1" s="1"/>
  <c r="K118" i="1"/>
  <c r="M118" i="1" s="1"/>
  <c r="H118" i="1"/>
  <c r="Q118" i="1" s="1"/>
  <c r="K298" i="1"/>
  <c r="M298" i="1" s="1"/>
  <c r="F298" i="1"/>
  <c r="H298" i="1" s="1"/>
  <c r="Q298" i="1" s="1"/>
  <c r="K184" i="1"/>
  <c r="M184" i="1" s="1"/>
  <c r="F184" i="1"/>
  <c r="H184" i="1" s="1"/>
  <c r="Q184" i="1" s="1"/>
  <c r="K179" i="1"/>
  <c r="M179" i="1" s="1"/>
  <c r="H179" i="1"/>
  <c r="Q179" i="1" s="1"/>
  <c r="K178" i="1"/>
  <c r="M178" i="1" s="1"/>
  <c r="H178" i="1"/>
  <c r="Q178" i="1" s="1"/>
  <c r="K177" i="1"/>
  <c r="M177" i="1" s="1"/>
  <c r="H177" i="1"/>
  <c r="Q177" i="1" s="1"/>
  <c r="K176" i="1"/>
  <c r="M176" i="1" s="1"/>
  <c r="H176" i="1"/>
  <c r="Q176" i="1" s="1"/>
  <c r="K175" i="1"/>
  <c r="M175" i="1" s="1"/>
  <c r="H175" i="1"/>
  <c r="Q175" i="1" s="1"/>
  <c r="K174" i="1"/>
  <c r="M174" i="1" s="1"/>
  <c r="H174" i="1"/>
  <c r="Q174" i="1" s="1"/>
  <c r="K172" i="1"/>
  <c r="M172" i="1" s="1"/>
  <c r="H172" i="1"/>
  <c r="Q172" i="1" s="1"/>
  <c r="K171" i="1"/>
  <c r="M171" i="1" s="1"/>
  <c r="H171" i="1"/>
  <c r="Q171" i="1" s="1"/>
  <c r="K170" i="1"/>
  <c r="M170" i="1" s="1"/>
  <c r="F170" i="1"/>
  <c r="H170" i="1" s="1"/>
  <c r="Q170" i="1" s="1"/>
  <c r="K169" i="1"/>
  <c r="M169" i="1" s="1"/>
  <c r="H169" i="1"/>
  <c r="Q169" i="1" s="1"/>
  <c r="K168" i="1"/>
  <c r="M168" i="1" s="1"/>
  <c r="H168" i="1"/>
  <c r="Q168" i="1" s="1"/>
  <c r="K166" i="1"/>
  <c r="M166" i="1" s="1"/>
  <c r="H166" i="1"/>
  <c r="Q166" i="1" s="1"/>
  <c r="H109" i="1"/>
  <c r="Q109" i="1" s="1"/>
  <c r="H108" i="1"/>
  <c r="Q108" i="1" s="1"/>
  <c r="F107" i="1"/>
  <c r="H107" i="1" s="1"/>
  <c r="Q107" i="1" s="1"/>
  <c r="K106" i="1"/>
  <c r="M106" i="1" s="1"/>
  <c r="H106" i="1"/>
  <c r="Q106" i="1" s="1"/>
  <c r="K105" i="1"/>
  <c r="M105" i="1" s="1"/>
  <c r="H105" i="1"/>
  <c r="Q105" i="1" s="1"/>
  <c r="K99" i="1"/>
  <c r="M99" i="1" s="1"/>
  <c r="F99" i="1"/>
  <c r="H99" i="1" s="1"/>
  <c r="Q99" i="1" s="1"/>
  <c r="H65" i="1"/>
  <c r="Q65" i="1" s="1"/>
  <c r="K64" i="1"/>
  <c r="M64" i="1" s="1"/>
  <c r="F64" i="1"/>
  <c r="H64" i="1" s="1"/>
  <c r="Q64" i="1" s="1"/>
  <c r="H58" i="1"/>
  <c r="Q58" i="1" s="1"/>
  <c r="P264" i="1" l="1"/>
  <c r="N412" i="1"/>
  <c r="P315" i="1"/>
  <c r="P177" i="1"/>
  <c r="P174" i="1"/>
  <c r="Q449" i="1"/>
  <c r="N455" i="1" s="1"/>
  <c r="P445" i="1"/>
  <c r="P444" i="1"/>
  <c r="P443" i="1"/>
  <c r="P287" i="1"/>
  <c r="P328" i="1"/>
  <c r="P327" i="1"/>
  <c r="P321" i="1"/>
  <c r="P320" i="1"/>
  <c r="P313" i="1"/>
  <c r="P299" i="1"/>
  <c r="P298" i="1"/>
  <c r="P267" i="1"/>
  <c r="P256" i="1"/>
  <c r="P172" i="1"/>
  <c r="P170" i="1"/>
  <c r="P168" i="1"/>
  <c r="P179" i="1"/>
  <c r="P178" i="1"/>
  <c r="P176" i="1"/>
  <c r="P175" i="1"/>
  <c r="P184" i="1"/>
  <c r="P171" i="1"/>
  <c r="P169" i="1"/>
  <c r="P166" i="1"/>
  <c r="P144" i="1"/>
  <c r="P65" i="1"/>
  <c r="M108" i="1"/>
  <c r="N108" i="1" s="1"/>
  <c r="P108" i="1"/>
  <c r="P105" i="1"/>
  <c r="P118" i="1"/>
  <c r="P115" i="1"/>
  <c r="M107" i="1"/>
  <c r="N107" i="1" s="1"/>
  <c r="P107" i="1"/>
  <c r="P109" i="1"/>
  <c r="P106" i="1"/>
  <c r="P99" i="1"/>
  <c r="P66" i="1"/>
  <c r="P64" i="1"/>
  <c r="P58" i="1"/>
  <c r="P57" i="1"/>
  <c r="N264" i="1"/>
  <c r="N66" i="1"/>
  <c r="N287" i="1"/>
  <c r="N267" i="1"/>
  <c r="N256" i="1"/>
  <c r="N299" i="1"/>
  <c r="N445" i="1"/>
  <c r="N443" i="1"/>
  <c r="N444" i="1"/>
  <c r="N320" i="1"/>
  <c r="N322" i="1" s="1"/>
  <c r="N327" i="1"/>
  <c r="N321" i="1"/>
  <c r="N328" i="1"/>
  <c r="N115" i="1"/>
  <c r="N315" i="1"/>
  <c r="N313" i="1"/>
  <c r="N316" i="1" s="1"/>
  <c r="N144" i="1"/>
  <c r="N178" i="1"/>
  <c r="N172" i="1"/>
  <c r="N118" i="1"/>
  <c r="N169" i="1"/>
  <c r="N184" i="1"/>
  <c r="N298" i="1"/>
  <c r="N170" i="1"/>
  <c r="N179" i="1"/>
  <c r="N171" i="1"/>
  <c r="N166" i="1"/>
  <c r="N176" i="1"/>
  <c r="N177" i="1"/>
  <c r="N64" i="1"/>
  <c r="N105" i="1"/>
  <c r="N109" i="1"/>
  <c r="N168" i="1"/>
  <c r="N174" i="1"/>
  <c r="N175" i="1"/>
  <c r="N106" i="1"/>
  <c r="N99" i="1"/>
  <c r="N57" i="1"/>
  <c r="N58" i="1"/>
  <c r="N65" i="1"/>
  <c r="P449" i="1" l="1"/>
  <c r="N449" i="1"/>
  <c r="F234" i="1"/>
  <c r="F204" i="1"/>
  <c r="F209" i="1"/>
  <c r="F132" i="1"/>
  <c r="F131" i="1"/>
  <c r="F130" i="1"/>
  <c r="F239" i="1"/>
  <c r="F160" i="1"/>
  <c r="H160" i="1" s="1"/>
  <c r="Q160" i="1" s="1"/>
  <c r="F123" i="1"/>
  <c r="K122" i="1"/>
  <c r="F122" i="1"/>
  <c r="H122" i="1" s="1"/>
  <c r="Q122" i="1" s="1"/>
  <c r="F121" i="1"/>
  <c r="F229" i="1"/>
  <c r="F231" i="1" s="1"/>
  <c r="H231" i="1" s="1"/>
  <c r="Q231" i="1" s="1"/>
  <c r="K160" i="1"/>
  <c r="K113" i="1"/>
  <c r="F113" i="1"/>
  <c r="H113" i="1" s="1"/>
  <c r="Q113" i="1" s="1"/>
  <c r="K112" i="1"/>
  <c r="H112" i="1"/>
  <c r="Q112" i="1" s="1"/>
  <c r="K297" i="1"/>
  <c r="H297" i="1"/>
  <c r="Q297" i="1" s="1"/>
  <c r="K275" i="1"/>
  <c r="F275" i="1"/>
  <c r="H275" i="1" s="1"/>
  <c r="Q275" i="1" s="1"/>
  <c r="K274" i="1"/>
  <c r="F274" i="1"/>
  <c r="H274" i="1" s="1"/>
  <c r="Q274" i="1" s="1"/>
  <c r="K273" i="1"/>
  <c r="F273" i="1"/>
  <c r="H273" i="1" s="1"/>
  <c r="Q273" i="1" s="1"/>
  <c r="K272" i="1"/>
  <c r="F272" i="1"/>
  <c r="H272" i="1" s="1"/>
  <c r="Q272" i="1" s="1"/>
  <c r="K269" i="1"/>
  <c r="H269" i="1"/>
  <c r="Q269" i="1" s="1"/>
  <c r="K268" i="1"/>
  <c r="H268" i="1"/>
  <c r="Q268" i="1" s="1"/>
  <c r="K266" i="1"/>
  <c r="H266" i="1"/>
  <c r="Q266" i="1" s="1"/>
  <c r="K183" i="1"/>
  <c r="H183" i="1"/>
  <c r="Q183" i="1" s="1"/>
  <c r="K162" i="1"/>
  <c r="H162" i="1"/>
  <c r="Q162" i="1" s="1"/>
  <c r="K151" i="1"/>
  <c r="F151" i="1"/>
  <c r="H151" i="1" s="1"/>
  <c r="Q151" i="1" s="1"/>
  <c r="K153" i="1"/>
  <c r="H153" i="1"/>
  <c r="Q153" i="1" s="1"/>
  <c r="K140" i="1"/>
  <c r="F140" i="1"/>
  <c r="H140" i="1" s="1"/>
  <c r="Q140" i="1" s="1"/>
  <c r="K139" i="1"/>
  <c r="F139" i="1"/>
  <c r="H139" i="1" s="1"/>
  <c r="Q139" i="1" s="1"/>
  <c r="K116" i="1"/>
  <c r="H116" i="1"/>
  <c r="Q116" i="1" s="1"/>
  <c r="K25" i="1"/>
  <c r="H25" i="1"/>
  <c r="Q25" i="1" s="1"/>
  <c r="K24" i="1"/>
  <c r="H24" i="1"/>
  <c r="Q24" i="1" s="1"/>
  <c r="K45" i="1"/>
  <c r="H45" i="1"/>
  <c r="Q45" i="1" s="1"/>
  <c r="K63" i="1"/>
  <c r="H63" i="1"/>
  <c r="Q63" i="1" s="1"/>
  <c r="K54" i="1"/>
  <c r="H54" i="1"/>
  <c r="Q54" i="1" s="1"/>
  <c r="K46" i="1"/>
  <c r="H46" i="1"/>
  <c r="Q46" i="1" s="1"/>
  <c r="K38" i="1"/>
  <c r="H38" i="1"/>
  <c r="Q38" i="1" s="1"/>
  <c r="K53" i="1"/>
  <c r="H53" i="1"/>
  <c r="Q53" i="1" s="1"/>
  <c r="M297" i="1" l="1"/>
  <c r="P297" i="1"/>
  <c r="M274" i="1"/>
  <c r="N274" i="1" s="1"/>
  <c r="P274" i="1"/>
  <c r="M272" i="1"/>
  <c r="P272" i="1"/>
  <c r="M273" i="1"/>
  <c r="N273" i="1" s="1"/>
  <c r="P273" i="1"/>
  <c r="M275" i="1"/>
  <c r="P275" i="1"/>
  <c r="M268" i="1"/>
  <c r="N268" i="1" s="1"/>
  <c r="P268" i="1"/>
  <c r="M266" i="1"/>
  <c r="N266" i="1" s="1"/>
  <c r="P266" i="1"/>
  <c r="M269" i="1"/>
  <c r="N269" i="1" s="1"/>
  <c r="P269" i="1"/>
  <c r="M233" i="1"/>
  <c r="M232" i="1"/>
  <c r="M230" i="1"/>
  <c r="M231" i="1"/>
  <c r="N231" i="1" s="1"/>
  <c r="P231" i="1"/>
  <c r="M183" i="1"/>
  <c r="P183" i="1"/>
  <c r="M162" i="1"/>
  <c r="N162" i="1" s="1"/>
  <c r="P162" i="1"/>
  <c r="M160" i="1"/>
  <c r="P160" i="1"/>
  <c r="M153" i="1"/>
  <c r="N153" i="1" s="1"/>
  <c r="P153" i="1"/>
  <c r="M151" i="1"/>
  <c r="N151" i="1" s="1"/>
  <c r="P151" i="1"/>
  <c r="M140" i="1"/>
  <c r="N140" i="1" s="1"/>
  <c r="P140" i="1"/>
  <c r="M139" i="1"/>
  <c r="N139" i="1" s="1"/>
  <c r="P139" i="1"/>
  <c r="M122" i="1"/>
  <c r="N122" i="1" s="1"/>
  <c r="P122" i="1"/>
  <c r="M116" i="1"/>
  <c r="N116" i="1" s="1"/>
  <c r="P116" i="1"/>
  <c r="M113" i="1"/>
  <c r="N113" i="1" s="1"/>
  <c r="P113" i="1"/>
  <c r="M112" i="1"/>
  <c r="N112" i="1" s="1"/>
  <c r="P112" i="1"/>
  <c r="M63" i="1"/>
  <c r="N63" i="1" s="1"/>
  <c r="P63" i="1"/>
  <c r="M46" i="1"/>
  <c r="N46" i="1" s="1"/>
  <c r="P46" i="1"/>
  <c r="M53" i="1"/>
  <c r="N53" i="1" s="1"/>
  <c r="P53" i="1"/>
  <c r="M38" i="1"/>
  <c r="N38" i="1" s="1"/>
  <c r="P38" i="1"/>
  <c r="M54" i="1"/>
  <c r="N54" i="1" s="1"/>
  <c r="P54" i="1"/>
  <c r="M45" i="1"/>
  <c r="P45" i="1"/>
  <c r="M25" i="1"/>
  <c r="N25" i="1" s="1"/>
  <c r="P25" i="1"/>
  <c r="M24" i="1"/>
  <c r="N24" i="1" s="1"/>
  <c r="P24" i="1"/>
  <c r="N451" i="1"/>
  <c r="N160" i="1"/>
  <c r="F232" i="1"/>
  <c r="H232" i="1" s="1"/>
  <c r="Q232" i="1" s="1"/>
  <c r="H229" i="1"/>
  <c r="N297" i="1"/>
  <c r="N272" i="1"/>
  <c r="N275" i="1"/>
  <c r="N183" i="1"/>
  <c r="N45" i="1"/>
  <c r="F230" i="1" l="1"/>
  <c r="F233" i="1" s="1"/>
  <c r="H233" i="1" s="1"/>
  <c r="Q229" i="1"/>
  <c r="P229" i="1"/>
  <c r="P232" i="1"/>
  <c r="N232" i="1"/>
  <c r="H230" i="1"/>
  <c r="F236" i="1"/>
  <c r="H236" i="1" s="1"/>
  <c r="Q236" i="1" s="1"/>
  <c r="K235" i="1"/>
  <c r="K248" i="1"/>
  <c r="H248" i="1"/>
  <c r="Q248" i="1" s="1"/>
  <c r="F283" i="1"/>
  <c r="H283" i="1" s="1"/>
  <c r="Q283" i="1" s="1"/>
  <c r="F282" i="1"/>
  <c r="H282" i="1" s="1"/>
  <c r="Q282" i="1" s="1"/>
  <c r="F281" i="1"/>
  <c r="H281" i="1" s="1"/>
  <c r="Q281" i="1" s="1"/>
  <c r="F280" i="1"/>
  <c r="F279" i="1"/>
  <c r="K90" i="1"/>
  <c r="F90" i="1"/>
  <c r="H90" i="1" s="1"/>
  <c r="Q90" i="1" s="1"/>
  <c r="K95" i="1"/>
  <c r="H95" i="1"/>
  <c r="Q95" i="1" s="1"/>
  <c r="F91" i="1"/>
  <c r="H91" i="1" s="1"/>
  <c r="Q91" i="1" s="1"/>
  <c r="F89" i="1"/>
  <c r="H89" i="1" s="1"/>
  <c r="Q89" i="1" s="1"/>
  <c r="K89" i="1"/>
  <c r="K294" i="1"/>
  <c r="H294" i="1"/>
  <c r="Q294" i="1" s="1"/>
  <c r="F94" i="1"/>
  <c r="H94" i="1" s="1"/>
  <c r="Q94" i="1" s="1"/>
  <c r="F93" i="1"/>
  <c r="H93" i="1" s="1"/>
  <c r="Q93" i="1" s="1"/>
  <c r="K93" i="1"/>
  <c r="K92" i="1"/>
  <c r="H92" i="1"/>
  <c r="Q92" i="1" s="1"/>
  <c r="K94" i="1"/>
  <c r="K91" i="1"/>
  <c r="K265" i="1"/>
  <c r="H265" i="1"/>
  <c r="Q265" i="1" s="1"/>
  <c r="F52" i="1"/>
  <c r="H52" i="1" s="1"/>
  <c r="Q52" i="1" s="1"/>
  <c r="F51" i="1"/>
  <c r="H51" i="1" s="1"/>
  <c r="Q51" i="1" s="1"/>
  <c r="K257" i="1"/>
  <c r="H257" i="1"/>
  <c r="Q257" i="1" s="1"/>
  <c r="K260" i="1"/>
  <c r="H260" i="1"/>
  <c r="Q260" i="1" s="1"/>
  <c r="K258" i="1"/>
  <c r="H258" i="1"/>
  <c r="Q258" i="1" s="1"/>
  <c r="K255" i="1"/>
  <c r="H255" i="1"/>
  <c r="Q255" i="1" s="1"/>
  <c r="K254" i="1"/>
  <c r="H254" i="1"/>
  <c r="Q254" i="1" s="1"/>
  <c r="K150" i="1"/>
  <c r="H150" i="1"/>
  <c r="Q150" i="1" s="1"/>
  <c r="K200" i="1"/>
  <c r="H200" i="1"/>
  <c r="Q200" i="1" s="1"/>
  <c r="F97" i="1"/>
  <c r="H97" i="1" s="1"/>
  <c r="Q97" i="1" s="1"/>
  <c r="K97" i="1"/>
  <c r="H123" i="1"/>
  <c r="Q123" i="1" s="1"/>
  <c r="H121" i="1"/>
  <c r="Q121" i="1" s="1"/>
  <c r="K123" i="1"/>
  <c r="K121" i="1"/>
  <c r="K132" i="1"/>
  <c r="H132" i="1"/>
  <c r="Q132" i="1" s="1"/>
  <c r="F37" i="1"/>
  <c r="H37" i="1" s="1"/>
  <c r="Q37" i="1" s="1"/>
  <c r="F224" i="1"/>
  <c r="F226" i="1" s="1"/>
  <c r="H226" i="1" s="1"/>
  <c r="Q226" i="1" s="1"/>
  <c r="F219" i="1"/>
  <c r="F221" i="1" s="1"/>
  <c r="H221" i="1" s="1"/>
  <c r="Q221" i="1" s="1"/>
  <c r="F36" i="1"/>
  <c r="H36" i="1" s="1"/>
  <c r="Q36" i="1" s="1"/>
  <c r="F34" i="1"/>
  <c r="H34" i="1" s="1"/>
  <c r="Q34" i="1" s="1"/>
  <c r="F214" i="1"/>
  <c r="F216" i="1" s="1"/>
  <c r="H216" i="1" s="1"/>
  <c r="Q216" i="1" s="1"/>
  <c r="F35" i="1"/>
  <c r="H35" i="1" s="1"/>
  <c r="Q35" i="1" s="1"/>
  <c r="F291" i="1"/>
  <c r="H291" i="1" s="1"/>
  <c r="Q291" i="1" s="1"/>
  <c r="F290" i="1"/>
  <c r="H290" i="1" s="1"/>
  <c r="Q290" i="1" s="1"/>
  <c r="F289" i="1"/>
  <c r="H289" i="1" s="1"/>
  <c r="Q289" i="1" s="1"/>
  <c r="H62" i="1"/>
  <c r="Q62" i="1" s="1"/>
  <c r="F161" i="1"/>
  <c r="H161" i="1" s="1"/>
  <c r="Q161" i="1" s="1"/>
  <c r="F296" i="1"/>
  <c r="H296" i="1" s="1"/>
  <c r="Q296" i="1" s="1"/>
  <c r="K296" i="1"/>
  <c r="K329" i="1"/>
  <c r="H329" i="1"/>
  <c r="Q329" i="1" s="1"/>
  <c r="K326" i="1"/>
  <c r="H326" i="1"/>
  <c r="Q326" i="1" s="1"/>
  <c r="F306" i="1"/>
  <c r="H301" i="1"/>
  <c r="Q301" i="1" s="1"/>
  <c r="F305" i="1"/>
  <c r="H305" i="1" s="1"/>
  <c r="Q305" i="1" s="1"/>
  <c r="F159" i="1"/>
  <c r="H159" i="1" s="1"/>
  <c r="Q159" i="1" s="1"/>
  <c r="K161" i="1"/>
  <c r="K159" i="1"/>
  <c r="K305" i="1"/>
  <c r="F40" i="1"/>
  <c r="H40" i="1" s="1"/>
  <c r="Q40" i="1" s="1"/>
  <c r="K137" i="1"/>
  <c r="K136" i="1"/>
  <c r="F135" i="1"/>
  <c r="H135" i="1" s="1"/>
  <c r="F39" i="1"/>
  <c r="H39" i="1" s="1"/>
  <c r="Q39" i="1" s="1"/>
  <c r="F211" i="1"/>
  <c r="F207" i="1"/>
  <c r="H207" i="1" s="1"/>
  <c r="Q207" i="1" s="1"/>
  <c r="F33" i="1"/>
  <c r="H33" i="1" s="1"/>
  <c r="Q33" i="1" s="1"/>
  <c r="K208" i="1"/>
  <c r="K207" i="1"/>
  <c r="K206" i="1"/>
  <c r="K205" i="1"/>
  <c r="F32" i="1"/>
  <c r="H32" i="1" s="1"/>
  <c r="Q32" i="1" s="1"/>
  <c r="K192" i="1"/>
  <c r="H192" i="1"/>
  <c r="Q192" i="1" s="1"/>
  <c r="K283" i="1"/>
  <c r="K282" i="1"/>
  <c r="K281" i="1"/>
  <c r="K291" i="1"/>
  <c r="K290" i="1"/>
  <c r="K289" i="1"/>
  <c r="K301" i="1"/>
  <c r="K147" i="1"/>
  <c r="H147" i="1"/>
  <c r="Q147" i="1" s="1"/>
  <c r="F78" i="1"/>
  <c r="K245" i="1"/>
  <c r="H245" i="1"/>
  <c r="Q245" i="1" s="1"/>
  <c r="F31" i="1"/>
  <c r="H31" i="1" s="1"/>
  <c r="Q31" i="1" s="1"/>
  <c r="F29" i="1"/>
  <c r="H29" i="1" s="1"/>
  <c r="Q29" i="1" s="1"/>
  <c r="F30" i="1"/>
  <c r="H30" i="1" s="1"/>
  <c r="Q30" i="1" s="1"/>
  <c r="F28" i="1"/>
  <c r="H28" i="1" s="1"/>
  <c r="Q28" i="1" s="1"/>
  <c r="K37" i="1"/>
  <c r="K36" i="1"/>
  <c r="K35" i="1"/>
  <c r="K34" i="1"/>
  <c r="K40" i="1"/>
  <c r="K39" i="1"/>
  <c r="K33" i="1"/>
  <c r="K32" i="1"/>
  <c r="K48" i="1"/>
  <c r="H48" i="1"/>
  <c r="Q48" i="1" s="1"/>
  <c r="K43" i="1"/>
  <c r="H43" i="1"/>
  <c r="Q43" i="1" s="1"/>
  <c r="K42" i="1"/>
  <c r="H42" i="1"/>
  <c r="Q42" i="1" s="1"/>
  <c r="K41" i="1"/>
  <c r="H41" i="1"/>
  <c r="Q41" i="1" s="1"/>
  <c r="K31" i="1"/>
  <c r="K30" i="1"/>
  <c r="K47" i="1"/>
  <c r="H47" i="1"/>
  <c r="Q47" i="1" s="1"/>
  <c r="K29" i="1"/>
  <c r="K50" i="1"/>
  <c r="H50" i="1"/>
  <c r="Q50" i="1" s="1"/>
  <c r="K56" i="1"/>
  <c r="H56" i="1"/>
  <c r="Q56" i="1" s="1"/>
  <c r="K55" i="1"/>
  <c r="H55" i="1"/>
  <c r="Q55" i="1" s="1"/>
  <c r="K49" i="1"/>
  <c r="H49" i="1"/>
  <c r="Q49" i="1" s="1"/>
  <c r="K28" i="1"/>
  <c r="K44" i="1"/>
  <c r="H44" i="1"/>
  <c r="Q44" i="1" s="1"/>
  <c r="K61" i="1"/>
  <c r="H61" i="1"/>
  <c r="Q61" i="1" s="1"/>
  <c r="K52" i="1"/>
  <c r="K51" i="1"/>
  <c r="K69" i="1"/>
  <c r="H69" i="1"/>
  <c r="Q69" i="1" s="1"/>
  <c r="K62" i="1"/>
  <c r="K74" i="1"/>
  <c r="H74" i="1"/>
  <c r="Q74" i="1" s="1"/>
  <c r="K73" i="1"/>
  <c r="H73" i="1"/>
  <c r="Q73" i="1" s="1"/>
  <c r="K72" i="1"/>
  <c r="H72" i="1"/>
  <c r="Q72" i="1" s="1"/>
  <c r="K71" i="1"/>
  <c r="H71" i="1"/>
  <c r="Q71" i="1" s="1"/>
  <c r="K70" i="1"/>
  <c r="H70" i="1"/>
  <c r="Q70" i="1" s="1"/>
  <c r="N9" i="1"/>
  <c r="N233" i="1" l="1"/>
  <c r="Q233" i="1"/>
  <c r="P233" i="1"/>
  <c r="Q135" i="1"/>
  <c r="P135" i="1"/>
  <c r="N230" i="1"/>
  <c r="Q230" i="1"/>
  <c r="P230" i="1"/>
  <c r="M200" i="1"/>
  <c r="P200" i="1"/>
  <c r="M329" i="1"/>
  <c r="N329" i="1" s="1"/>
  <c r="P329" i="1"/>
  <c r="M326" i="1"/>
  <c r="P326" i="1"/>
  <c r="M305" i="1"/>
  <c r="N305" i="1" s="1"/>
  <c r="P305" i="1"/>
  <c r="M301" i="1"/>
  <c r="P301" i="1"/>
  <c r="M296" i="1"/>
  <c r="N296" i="1" s="1"/>
  <c r="P296" i="1"/>
  <c r="M294" i="1"/>
  <c r="P294" i="1"/>
  <c r="M291" i="1"/>
  <c r="N291" i="1" s="1"/>
  <c r="P291" i="1"/>
  <c r="M289" i="1"/>
  <c r="N289" i="1" s="1"/>
  <c r="P289" i="1"/>
  <c r="M290" i="1"/>
  <c r="N290" i="1" s="1"/>
  <c r="P290" i="1"/>
  <c r="M282" i="1"/>
  <c r="P282" i="1"/>
  <c r="M283" i="1"/>
  <c r="N283" i="1" s="1"/>
  <c r="P283" i="1"/>
  <c r="M281" i="1"/>
  <c r="P281" i="1"/>
  <c r="M265" i="1"/>
  <c r="N265" i="1" s="1"/>
  <c r="P265" i="1"/>
  <c r="M260" i="1"/>
  <c r="N260" i="1" s="1"/>
  <c r="P260" i="1"/>
  <c r="M255" i="1"/>
  <c r="N255" i="1" s="1"/>
  <c r="P255" i="1"/>
  <c r="M258" i="1"/>
  <c r="N258" i="1" s="1"/>
  <c r="P258" i="1"/>
  <c r="M257" i="1"/>
  <c r="N257" i="1" s="1"/>
  <c r="P257" i="1"/>
  <c r="M254" i="1"/>
  <c r="N254" i="1" s="1"/>
  <c r="P254" i="1"/>
  <c r="M248" i="1"/>
  <c r="P248" i="1"/>
  <c r="M245" i="1"/>
  <c r="N245" i="1" s="1"/>
  <c r="P245" i="1"/>
  <c r="M237" i="1"/>
  <c r="M236" i="1"/>
  <c r="P236" i="1"/>
  <c r="M238" i="1"/>
  <c r="M235" i="1"/>
  <c r="M226" i="1"/>
  <c r="N226" i="1" s="1"/>
  <c r="P226" i="1"/>
  <c r="M228" i="1"/>
  <c r="M227" i="1"/>
  <c r="M225" i="1"/>
  <c r="M220" i="1"/>
  <c r="M221" i="1"/>
  <c r="N221" i="1" s="1"/>
  <c r="P221" i="1"/>
  <c r="M222" i="1"/>
  <c r="M223" i="1"/>
  <c r="M216" i="1"/>
  <c r="N216" i="1" s="1"/>
  <c r="P216" i="1"/>
  <c r="M215" i="1"/>
  <c r="M217" i="1"/>
  <c r="M218" i="1"/>
  <c r="M206" i="1"/>
  <c r="M208" i="1"/>
  <c r="M207" i="1"/>
  <c r="N207" i="1" s="1"/>
  <c r="P207" i="1"/>
  <c r="M205" i="1"/>
  <c r="M192" i="1"/>
  <c r="N192" i="1" s="1"/>
  <c r="P192" i="1"/>
  <c r="M161" i="1"/>
  <c r="N161" i="1" s="1"/>
  <c r="P161" i="1"/>
  <c r="M159" i="1"/>
  <c r="N159" i="1" s="1"/>
  <c r="N185" i="1" s="1"/>
  <c r="P159" i="1"/>
  <c r="M150" i="1"/>
  <c r="N150" i="1" s="1"/>
  <c r="P150" i="1"/>
  <c r="M147" i="1"/>
  <c r="N147" i="1" s="1"/>
  <c r="P147" i="1"/>
  <c r="M136" i="1"/>
  <c r="M137" i="1"/>
  <c r="M132" i="1"/>
  <c r="P132" i="1"/>
  <c r="M123" i="1"/>
  <c r="N123" i="1" s="1"/>
  <c r="P123" i="1"/>
  <c r="M121" i="1"/>
  <c r="N121" i="1" s="1"/>
  <c r="N125" i="1" s="1"/>
  <c r="P121" i="1"/>
  <c r="M97" i="1"/>
  <c r="N97" i="1" s="1"/>
  <c r="P97" i="1"/>
  <c r="M95" i="1"/>
  <c r="N95" i="1" s="1"/>
  <c r="P95" i="1"/>
  <c r="M91" i="1"/>
  <c r="N91" i="1" s="1"/>
  <c r="P91" i="1"/>
  <c r="M94" i="1"/>
  <c r="N94" i="1" s="1"/>
  <c r="P94" i="1"/>
  <c r="M93" i="1"/>
  <c r="N93" i="1" s="1"/>
  <c r="P93" i="1"/>
  <c r="M92" i="1"/>
  <c r="N92" i="1" s="1"/>
  <c r="P92" i="1"/>
  <c r="M90" i="1"/>
  <c r="N90" i="1" s="1"/>
  <c r="P90" i="1"/>
  <c r="M89" i="1"/>
  <c r="N89" i="1" s="1"/>
  <c r="P89" i="1"/>
  <c r="M73" i="1"/>
  <c r="N73" i="1" s="1"/>
  <c r="P73" i="1"/>
  <c r="M69" i="1"/>
  <c r="P69" i="1"/>
  <c r="M70" i="1"/>
  <c r="N70" i="1" s="1"/>
  <c r="P70" i="1"/>
  <c r="M74" i="1"/>
  <c r="N74" i="1" s="1"/>
  <c r="P74" i="1"/>
  <c r="M71" i="1"/>
  <c r="N71" i="1" s="1"/>
  <c r="P71" i="1"/>
  <c r="M72" i="1"/>
  <c r="N72" i="1" s="1"/>
  <c r="P72" i="1"/>
  <c r="M61" i="1"/>
  <c r="N61" i="1" s="1"/>
  <c r="P61" i="1"/>
  <c r="M62" i="1"/>
  <c r="N62" i="1" s="1"/>
  <c r="P62" i="1"/>
  <c r="M29" i="1"/>
  <c r="P29" i="1"/>
  <c r="M42" i="1"/>
  <c r="N42" i="1" s="1"/>
  <c r="P42" i="1"/>
  <c r="M40" i="1"/>
  <c r="N40" i="1" s="1"/>
  <c r="P40" i="1"/>
  <c r="M49" i="1"/>
  <c r="N49" i="1" s="1"/>
  <c r="P49" i="1"/>
  <c r="M34" i="1"/>
  <c r="N34" i="1" s="1"/>
  <c r="P34" i="1"/>
  <c r="M31" i="1"/>
  <c r="N31" i="1" s="1"/>
  <c r="P31" i="1"/>
  <c r="M48" i="1"/>
  <c r="N48" i="1" s="1"/>
  <c r="P48" i="1"/>
  <c r="M37" i="1"/>
  <c r="N37" i="1" s="1"/>
  <c r="P37" i="1"/>
  <c r="M51" i="1"/>
  <c r="N51" i="1" s="1"/>
  <c r="P51" i="1"/>
  <c r="M56" i="1"/>
  <c r="N56" i="1" s="1"/>
  <c r="P56" i="1"/>
  <c r="M32" i="1"/>
  <c r="N32" i="1" s="1"/>
  <c r="P32" i="1"/>
  <c r="M52" i="1"/>
  <c r="N52" i="1" s="1"/>
  <c r="P52" i="1"/>
  <c r="M44" i="1"/>
  <c r="N44" i="1" s="1"/>
  <c r="P44" i="1"/>
  <c r="M47" i="1"/>
  <c r="N47" i="1" s="1"/>
  <c r="P47" i="1"/>
  <c r="M41" i="1"/>
  <c r="N41" i="1" s="1"/>
  <c r="P41" i="1"/>
  <c r="M43" i="1"/>
  <c r="P43" i="1"/>
  <c r="M33" i="1"/>
  <c r="N33" i="1" s="1"/>
  <c r="P33" i="1"/>
  <c r="M35" i="1"/>
  <c r="P35" i="1"/>
  <c r="M28" i="1"/>
  <c r="N28" i="1" s="1"/>
  <c r="P28" i="1"/>
  <c r="M55" i="1"/>
  <c r="N55" i="1" s="1"/>
  <c r="P55" i="1"/>
  <c r="M50" i="1"/>
  <c r="N50" i="1" s="1"/>
  <c r="P50" i="1"/>
  <c r="M30" i="1"/>
  <c r="N30" i="1" s="1"/>
  <c r="P30" i="1"/>
  <c r="M39" i="1"/>
  <c r="N39" i="1" s="1"/>
  <c r="P39" i="1"/>
  <c r="M36" i="1"/>
  <c r="N36" i="1" s="1"/>
  <c r="P36" i="1"/>
  <c r="N236" i="1"/>
  <c r="F237" i="1"/>
  <c r="H237" i="1" s="1"/>
  <c r="P237" i="1" s="1"/>
  <c r="H234" i="1"/>
  <c r="N248" i="1"/>
  <c r="N294" i="1"/>
  <c r="N200" i="1"/>
  <c r="N132" i="1"/>
  <c r="F217" i="1"/>
  <c r="H217" i="1" s="1"/>
  <c r="P217" i="1" s="1"/>
  <c r="F222" i="1"/>
  <c r="H222" i="1" s="1"/>
  <c r="H219" i="1"/>
  <c r="H214" i="1"/>
  <c r="H224" i="1"/>
  <c r="F227" i="1"/>
  <c r="H227" i="1" s="1"/>
  <c r="P227" i="1" s="1"/>
  <c r="N326" i="1"/>
  <c r="N330" i="1" s="1"/>
  <c r="F212" i="1"/>
  <c r="F206" i="1"/>
  <c r="H206" i="1" s="1"/>
  <c r="F136" i="1"/>
  <c r="F137" i="1" s="1"/>
  <c r="N282" i="1"/>
  <c r="H204" i="1"/>
  <c r="N281" i="1"/>
  <c r="H209" i="1"/>
  <c r="N301" i="1"/>
  <c r="N43" i="1"/>
  <c r="N35" i="1"/>
  <c r="N29" i="1"/>
  <c r="N69" i="1"/>
  <c r="K210" i="1"/>
  <c r="H17" i="1"/>
  <c r="N17" i="1" s="1"/>
  <c r="H16" i="1"/>
  <c r="N16" i="1" s="1"/>
  <c r="H15" i="1"/>
  <c r="N15" i="1" s="1"/>
  <c r="H14" i="1"/>
  <c r="N14" i="1" s="1"/>
  <c r="H13" i="1"/>
  <c r="N13" i="1" s="1"/>
  <c r="H12" i="1"/>
  <c r="N12" i="1" s="1"/>
  <c r="A12" i="1"/>
  <c r="N100" i="1" l="1"/>
  <c r="N206" i="1"/>
  <c r="Q206" i="1"/>
  <c r="N222" i="1"/>
  <c r="Q222" i="1"/>
  <c r="P206" i="1"/>
  <c r="F220" i="1"/>
  <c r="Q219" i="1"/>
  <c r="P219" i="1"/>
  <c r="N237" i="1"/>
  <c r="Q237" i="1"/>
  <c r="F210" i="1"/>
  <c r="Q209" i="1"/>
  <c r="P209" i="1"/>
  <c r="F205" i="1"/>
  <c r="F208" i="1" s="1"/>
  <c r="H208" i="1" s="1"/>
  <c r="Q204" i="1"/>
  <c r="P204" i="1"/>
  <c r="F225" i="1"/>
  <c r="H225" i="1" s="1"/>
  <c r="N225" i="1" s="1"/>
  <c r="P224" i="1"/>
  <c r="Q224" i="1"/>
  <c r="P222" i="1"/>
  <c r="F215" i="1"/>
  <c r="F218" i="1" s="1"/>
  <c r="H218" i="1" s="1"/>
  <c r="P214" i="1"/>
  <c r="Q214" i="1"/>
  <c r="N217" i="1"/>
  <c r="Q217" i="1"/>
  <c r="F235" i="1"/>
  <c r="H235" i="1" s="1"/>
  <c r="P234" i="1"/>
  <c r="Q234" i="1"/>
  <c r="N227" i="1"/>
  <c r="Q227" i="1"/>
  <c r="M213" i="1"/>
  <c r="M212" i="1"/>
  <c r="M210" i="1"/>
  <c r="M211" i="1"/>
  <c r="A13" i="1"/>
  <c r="F238" i="1"/>
  <c r="H238" i="1" s="1"/>
  <c r="F228" i="1"/>
  <c r="H228" i="1" s="1"/>
  <c r="F223" i="1"/>
  <c r="H223" i="1" s="1"/>
  <c r="H220" i="1"/>
  <c r="H137" i="1"/>
  <c r="H136" i="1"/>
  <c r="H205" i="1"/>
  <c r="N20" i="1"/>
  <c r="H215" i="1" l="1"/>
  <c r="Q215" i="1" s="1"/>
  <c r="N235" i="1"/>
  <c r="Q235" i="1"/>
  <c r="P235" i="1"/>
  <c r="N208" i="1"/>
  <c r="Q208" i="1"/>
  <c r="P208" i="1"/>
  <c r="N137" i="1"/>
  <c r="Q137" i="1"/>
  <c r="P137" i="1"/>
  <c r="N223" i="1"/>
  <c r="Q223" i="1"/>
  <c r="P223" i="1"/>
  <c r="N228" i="1"/>
  <c r="Q228" i="1"/>
  <c r="P228" i="1"/>
  <c r="N218" i="1"/>
  <c r="Q218" i="1"/>
  <c r="P218" i="1"/>
  <c r="Q225" i="1"/>
  <c r="P225" i="1"/>
  <c r="N205" i="1"/>
  <c r="Q205" i="1"/>
  <c r="P205" i="1"/>
  <c r="N215" i="1"/>
  <c r="N136" i="1"/>
  <c r="Q136" i="1"/>
  <c r="P136" i="1"/>
  <c r="N220" i="1"/>
  <c r="Q220" i="1"/>
  <c r="P220" i="1"/>
  <c r="N238" i="1"/>
  <c r="Q238" i="1"/>
  <c r="P238" i="1"/>
  <c r="A14" i="1"/>
  <c r="A15" i="1" s="1"/>
  <c r="H191" i="1"/>
  <c r="Q191" i="1" s="1"/>
  <c r="K189" i="1"/>
  <c r="H189" i="1"/>
  <c r="Q189" i="1" s="1"/>
  <c r="K190" i="1"/>
  <c r="H190" i="1"/>
  <c r="Q190" i="1" s="1"/>
  <c r="K191" i="1"/>
  <c r="A330" i="1"/>
  <c r="A431" i="1"/>
  <c r="P215" i="1" l="1"/>
  <c r="M191" i="1"/>
  <c r="N191" i="1" s="1"/>
  <c r="P191" i="1"/>
  <c r="M190" i="1"/>
  <c r="N190" i="1" s="1"/>
  <c r="P190" i="1"/>
  <c r="M189" i="1"/>
  <c r="P189" i="1"/>
  <c r="A16" i="1"/>
  <c r="N189" i="1"/>
  <c r="A17" i="1" l="1"/>
  <c r="A18" i="1"/>
  <c r="A24" i="1" s="1"/>
  <c r="A25" i="1" s="1"/>
  <c r="A27" i="1" l="1"/>
  <c r="K306" i="1"/>
  <c r="H306" i="1"/>
  <c r="Q306" i="1" s="1"/>
  <c r="K280" i="1"/>
  <c r="H280" i="1"/>
  <c r="Q280" i="1" s="1"/>
  <c r="K279" i="1"/>
  <c r="H279" i="1"/>
  <c r="Q279" i="1" s="1"/>
  <c r="K249" i="1"/>
  <c r="H249" i="1"/>
  <c r="Q249" i="1" s="1"/>
  <c r="K239" i="1"/>
  <c r="H239" i="1"/>
  <c r="Q239" i="1" s="1"/>
  <c r="K195" i="1"/>
  <c r="H195" i="1"/>
  <c r="Q195" i="1" s="1"/>
  <c r="K143" i="1"/>
  <c r="H143" i="1"/>
  <c r="Q143" i="1" s="1"/>
  <c r="K131" i="1"/>
  <c r="K130" i="1"/>
  <c r="H131" i="1"/>
  <c r="Q131" i="1" s="1"/>
  <c r="H130" i="1"/>
  <c r="Q130" i="1" s="1"/>
  <c r="A28" i="1" l="1"/>
  <c r="P306" i="1"/>
  <c r="P131" i="1"/>
  <c r="M280" i="1"/>
  <c r="P280" i="1"/>
  <c r="M279" i="1"/>
  <c r="N279" i="1" s="1"/>
  <c r="P279" i="1"/>
  <c r="M249" i="1"/>
  <c r="N249" i="1" s="1"/>
  <c r="P249" i="1"/>
  <c r="M239" i="1"/>
  <c r="N239" i="1" s="1"/>
  <c r="P239" i="1"/>
  <c r="M195" i="1"/>
  <c r="N195" i="1" s="1"/>
  <c r="N196" i="1" s="1"/>
  <c r="P195" i="1"/>
  <c r="M143" i="1"/>
  <c r="N143" i="1" s="1"/>
  <c r="P143" i="1"/>
  <c r="M130" i="1"/>
  <c r="N130" i="1" s="1"/>
  <c r="N154" i="1" s="1"/>
  <c r="P130" i="1"/>
  <c r="F213" i="1"/>
  <c r="H213" i="1" s="1"/>
  <c r="H212" i="1"/>
  <c r="N280" i="1"/>
  <c r="M306" i="1"/>
  <c r="N306" i="1" s="1"/>
  <c r="M131" i="1"/>
  <c r="N131" i="1" s="1"/>
  <c r="A29" i="1" l="1"/>
  <c r="N213" i="1"/>
  <c r="Q213" i="1"/>
  <c r="P213" i="1"/>
  <c r="N212" i="1"/>
  <c r="Q212" i="1"/>
  <c r="P212" i="1"/>
  <c r="H211" i="1"/>
  <c r="H210" i="1"/>
  <c r="H75" i="1"/>
  <c r="Q75" i="1" s="1"/>
  <c r="H78" i="1"/>
  <c r="Q78" i="1" s="1"/>
  <c r="H27" i="1"/>
  <c r="Q27" i="1" s="1"/>
  <c r="K78" i="1"/>
  <c r="M78" i="1" s="1"/>
  <c r="K27" i="1"/>
  <c r="K75" i="1"/>
  <c r="A30" i="1" l="1"/>
  <c r="A31" i="1" s="1"/>
  <c r="N210" i="1"/>
  <c r="Q210" i="1"/>
  <c r="Q430" i="1" s="1"/>
  <c r="N436" i="1" s="1"/>
  <c r="P210" i="1"/>
  <c r="N211" i="1"/>
  <c r="Q211" i="1"/>
  <c r="P211" i="1"/>
  <c r="N78" i="1"/>
  <c r="P78" i="1"/>
  <c r="N75" i="1"/>
  <c r="P75" i="1"/>
  <c r="M27" i="1"/>
  <c r="N27" i="1" s="1"/>
  <c r="P27" i="1"/>
  <c r="P430" i="1" s="1"/>
  <c r="N84" i="1" l="1"/>
  <c r="N308" i="1"/>
  <c r="A32" i="1"/>
  <c r="N432" i="1" l="1"/>
  <c r="A33" i="1"/>
  <c r="N437" i="1" l="1"/>
  <c r="N435" i="1"/>
  <c r="N434" i="1"/>
  <c r="N433" i="1"/>
  <c r="A34" i="1"/>
  <c r="A35" i="1" s="1"/>
  <c r="A36" i="1" s="1"/>
  <c r="A37" i="1" s="1"/>
  <c r="A38" i="1" s="1"/>
  <c r="A39" i="1" s="1"/>
  <c r="A40" i="1" s="1"/>
  <c r="A41" i="1" s="1"/>
  <c r="A42" i="1" s="1"/>
  <c r="A43" i="1" s="1"/>
  <c r="A44" i="1" s="1"/>
  <c r="A45" i="1" s="1"/>
  <c r="A46" i="1" s="1"/>
  <c r="A47" i="1" s="1"/>
  <c r="A48" i="1" s="1"/>
  <c r="A49" i="1" s="1"/>
  <c r="A50" i="1" s="1"/>
  <c r="A51" i="1" s="1"/>
  <c r="A52" i="1" s="1"/>
  <c r="A53" i="1" s="1"/>
  <c r="A54" i="1" s="1"/>
  <c r="A55" i="1" s="1"/>
  <c r="A56" i="1" s="1"/>
  <c r="A57" i="1" s="1"/>
  <c r="A58" i="1" s="1"/>
  <c r="A61" i="1" s="1"/>
  <c r="A62" i="1" s="1"/>
  <c r="A63" i="1" s="1"/>
  <c r="A64" i="1" s="1"/>
  <c r="A65" i="1" s="1"/>
  <c r="A66" i="1" s="1"/>
  <c r="A69" i="1" s="1"/>
  <c r="A70" i="1" s="1"/>
  <c r="A71" i="1" s="1"/>
  <c r="A72" i="1" s="1"/>
  <c r="A73" i="1" s="1"/>
  <c r="A74" i="1" s="1"/>
  <c r="A75" i="1" s="1"/>
  <c r="A78" i="1" s="1"/>
  <c r="A80" i="1" l="1"/>
  <c r="A82" i="1" s="1"/>
  <c r="A83" i="1" s="1"/>
  <c r="N452" i="1"/>
  <c r="N453" i="1"/>
  <c r="N454" i="1"/>
  <c r="A89" i="1" l="1"/>
  <c r="N456" i="1"/>
  <c r="A90" i="1" l="1"/>
  <c r="A91" i="1" s="1"/>
  <c r="A92" i="1" s="1"/>
  <c r="A93" i="1" s="1"/>
  <c r="A94" i="1" s="1"/>
  <c r="A95" i="1" s="1"/>
  <c r="A97" i="1" s="1"/>
  <c r="A99" i="1" s="1"/>
  <c r="A105" i="1" s="1"/>
  <c r="A106" i="1" s="1"/>
  <c r="A107" i="1" s="1"/>
  <c r="A108" i="1" s="1"/>
  <c r="A109" i="1" s="1"/>
  <c r="A112" i="1" s="1"/>
  <c r="A113" i="1" s="1"/>
  <c r="A115" i="1" s="1"/>
  <c r="A116" i="1" s="1"/>
  <c r="A118" i="1" s="1"/>
  <c r="A121" i="1" s="1"/>
  <c r="A122" i="1" s="1"/>
  <c r="A123" i="1" s="1"/>
  <c r="A130" i="1" s="1"/>
  <c r="A131" i="1" s="1"/>
  <c r="A132" i="1" s="1"/>
  <c r="A135" i="1" s="1"/>
  <c r="A136" i="1" s="1"/>
  <c r="A137" i="1" s="1"/>
  <c r="A138" i="1" s="1"/>
  <c r="A139" i="1" s="1"/>
  <c r="A140" i="1" s="1"/>
  <c r="A143" i="1" s="1"/>
  <c r="A144" i="1" s="1"/>
  <c r="A147" i="1" s="1"/>
  <c r="A150" i="1" s="1"/>
  <c r="A151" i="1" s="1"/>
  <c r="A153" i="1" s="1"/>
  <c r="A159" i="1" s="1"/>
  <c r="A160" i="1" s="1"/>
  <c r="A161" i="1" s="1"/>
  <c r="A162" i="1" s="1"/>
  <c r="A166" i="1" s="1"/>
  <c r="A168" i="1" s="1"/>
  <c r="A169" i="1" s="1"/>
  <c r="A170" i="1" s="1"/>
  <c r="A171" i="1" s="1"/>
  <c r="A172" i="1" s="1"/>
  <c r="A174" i="1" s="1"/>
  <c r="A175" i="1" s="1"/>
  <c r="A176" i="1" s="1"/>
  <c r="A177" i="1" s="1"/>
  <c r="A178" i="1" s="1"/>
  <c r="A179" i="1" s="1"/>
  <c r="A183" i="1" s="1"/>
  <c r="A184" i="1" s="1"/>
  <c r="A189" i="1" s="1"/>
  <c r="A190" i="1" s="1"/>
  <c r="A191" i="1" s="1"/>
  <c r="A192" i="1" s="1"/>
  <c r="A195" i="1" s="1"/>
  <c r="A200" i="1" s="1"/>
  <c r="A204" i="1" s="1"/>
  <c r="A205" i="1" s="1"/>
  <c r="A206" i="1" s="1"/>
  <c r="A207" i="1" s="1"/>
  <c r="A208" i="1" s="1"/>
  <c r="A209" i="1" s="1"/>
  <c r="A210" i="1" s="1"/>
  <c r="A211" i="1" s="1"/>
  <c r="A212" i="1" s="1"/>
  <c r="A213" i="1" s="1"/>
  <c r="A214" i="1" s="1"/>
  <c r="A215" i="1" s="1"/>
  <c r="A216" i="1" s="1"/>
  <c r="A217" i="1" s="1"/>
  <c r="A218" i="1" s="1"/>
  <c r="A219" i="1" s="1"/>
  <c r="A220" i="1" s="1"/>
  <c r="A221" i="1" s="1"/>
  <c r="A222" i="1" s="1"/>
  <c r="A223" i="1" s="1"/>
  <c r="A224" i="1" s="1"/>
  <c r="A225" i="1" s="1"/>
  <c r="A226" i="1" s="1"/>
  <c r="A227" i="1" s="1"/>
  <c r="A228" i="1" s="1"/>
  <c r="A229" i="1" s="1"/>
  <c r="A230" i="1" s="1"/>
  <c r="A231" i="1" s="1"/>
  <c r="A232" i="1" s="1"/>
  <c r="A233" i="1" s="1"/>
  <c r="A234" i="1" s="1"/>
  <c r="A235" i="1" s="1"/>
  <c r="A236" i="1" s="1"/>
  <c r="A237" i="1" s="1"/>
  <c r="A238" i="1" s="1"/>
  <c r="A239" i="1" s="1"/>
  <c r="A245" i="1" s="1"/>
  <c r="A248" i="1" s="1"/>
  <c r="A249" i="1" s="1"/>
  <c r="A254" i="1" s="1"/>
  <c r="A255" i="1" s="1"/>
  <c r="A256" i="1" s="1"/>
  <c r="A257" i="1" l="1"/>
  <c r="A258" i="1" s="1"/>
  <c r="A260" i="1" s="1"/>
  <c r="A264" i="1" s="1"/>
  <c r="A265" i="1" s="1"/>
  <c r="A266" i="1" s="1"/>
  <c r="A267" i="1" s="1"/>
  <c r="A268" i="1" s="1"/>
  <c r="A269" i="1" s="1"/>
  <c r="A272" i="1" s="1"/>
  <c r="A273" i="1" s="1"/>
  <c r="A274" i="1" s="1"/>
  <c r="A275" i="1" s="1"/>
  <c r="A279" i="1" s="1"/>
  <c r="A280" i="1" s="1"/>
  <c r="A281" i="1" s="1"/>
  <c r="A282" i="1" s="1"/>
  <c r="A283" i="1" s="1"/>
  <c r="A287" i="1" s="1"/>
  <c r="A289" i="1" s="1"/>
  <c r="A290" i="1" s="1"/>
  <c r="A291" i="1" s="1"/>
  <c r="A294" i="1" s="1"/>
  <c r="A296" i="1" s="1"/>
  <c r="A297" i="1" s="1"/>
  <c r="A298" i="1" s="1"/>
  <c r="A299" i="1" s="1"/>
  <c r="A301" i="1" s="1"/>
  <c r="A305" i="1" s="1"/>
  <c r="A306" i="1" s="1"/>
  <c r="A313" i="1" s="1"/>
  <c r="A315" i="1" s="1"/>
  <c r="A320" i="1" s="1"/>
  <c r="A321" i="1" s="1"/>
  <c r="A326" i="1" s="1"/>
  <c r="A327" i="1" s="1"/>
  <c r="A328" i="1" s="1"/>
  <c r="A329" i="1" s="1"/>
  <c r="A334" i="1" s="1"/>
  <c r="A340" i="1" s="1"/>
  <c r="A342" i="1" s="1"/>
  <c r="A345" i="1" s="1"/>
  <c r="A348" i="1" s="1"/>
  <c r="A350" i="1" s="1"/>
  <c r="A353" i="1" s="1"/>
  <c r="A356" i="1" s="1"/>
  <c r="A359" i="1" s="1"/>
  <c r="A360" i="1" s="1"/>
  <c r="A362" i="1" s="1"/>
  <c r="A365" i="1" s="1"/>
  <c r="A368" i="1" s="1"/>
  <c r="A370" i="1" s="1"/>
  <c r="A373" i="1" s="1"/>
  <c r="A375" i="1" s="1"/>
  <c r="A376" i="1" s="1"/>
  <c r="A377" i="1" s="1"/>
  <c r="A378" i="1" s="1"/>
  <c r="A380" i="1" s="1"/>
  <c r="A386" i="1" s="1"/>
  <c r="A389" i="1" s="1"/>
  <c r="A391" i="1" s="1"/>
  <c r="A393" i="1" s="1"/>
  <c r="A394" i="1" s="1"/>
  <c r="A395" i="1" s="1"/>
  <c r="A398" i="1" s="1"/>
  <c r="A400" i="1" s="1"/>
  <c r="A402" i="1" s="1"/>
  <c r="A403" i="1" s="1"/>
  <c r="A404" i="1" s="1"/>
  <c r="A405" i="1" s="1"/>
  <c r="A407" i="1" s="1"/>
  <c r="A408" i="1" s="1"/>
  <c r="A409" i="1" s="1"/>
  <c r="A411" i="1" s="1"/>
  <c r="A417" i="1" s="1"/>
  <c r="A419" i="1" s="1"/>
  <c r="A425" i="1" s="1"/>
  <c r="A427" i="1" s="1"/>
  <c r="A443" i="1" l="1"/>
  <c r="A444" i="1" s="1"/>
  <c r="A445" i="1" s="1"/>
</calcChain>
</file>

<file path=xl/sharedStrings.xml><?xml version="1.0" encoding="utf-8"?>
<sst xmlns="http://schemas.openxmlformats.org/spreadsheetml/2006/main" count="960" uniqueCount="481">
  <si>
    <t>DESCRIPTION</t>
  </si>
  <si>
    <t>QUANTITY</t>
  </si>
  <si>
    <t>UNIT</t>
  </si>
  <si>
    <t>INSURANCE</t>
  </si>
  <si>
    <t>LS</t>
  </si>
  <si>
    <t>UNIT COST</t>
  </si>
  <si>
    <t>SR #</t>
  </si>
  <si>
    <t>SF</t>
  </si>
  <si>
    <t>Final Cleaning</t>
  </si>
  <si>
    <t>SUB COST</t>
  </si>
  <si>
    <t>PROJECTED COST</t>
  </si>
  <si>
    <t>SUGGESTED BID</t>
  </si>
  <si>
    <t>CONTINGENCY</t>
  </si>
  <si>
    <t>Date:</t>
  </si>
  <si>
    <t>OVERHEAD AND PROFIT</t>
  </si>
  <si>
    <t>GENERAL REQUIREMENTS</t>
  </si>
  <si>
    <t>Scope:</t>
  </si>
  <si>
    <t>WASTAGE</t>
  </si>
  <si>
    <t>QUANTITY W/ WASTAGE</t>
  </si>
  <si>
    <t>SUBTOTAL</t>
  </si>
  <si>
    <t>Prepared for:</t>
  </si>
  <si>
    <t>TAX</t>
  </si>
  <si>
    <t>DETAILED BREAKDOWN OF ITEMS</t>
  </si>
  <si>
    <t>LABOR COST</t>
  </si>
  <si>
    <t>MAT. COST</t>
  </si>
  <si>
    <t xml:space="preserve">  </t>
  </si>
  <si>
    <t>Project ID:</t>
  </si>
  <si>
    <t>EA</t>
  </si>
  <si>
    <t>DEMOLITION</t>
  </si>
  <si>
    <t>LF</t>
  </si>
  <si>
    <t>Drawing #</t>
  </si>
  <si>
    <t>Detail #</t>
  </si>
  <si>
    <t>UNIT MANHOUR</t>
  </si>
  <si>
    <t>HOURLY WAGE</t>
  </si>
  <si>
    <t>EXISTING CONDITIONS</t>
  </si>
  <si>
    <t>LBS</t>
  </si>
  <si>
    <t>MASONRY</t>
  </si>
  <si>
    <t>BRICK VENEER</t>
  </si>
  <si>
    <t>METALS</t>
  </si>
  <si>
    <t xml:space="preserve">STRUCTURAL STEEL </t>
  </si>
  <si>
    <t xml:space="preserve">ROUGH CARPENTRY </t>
  </si>
  <si>
    <t xml:space="preserve">FINISH CARPENTRY </t>
  </si>
  <si>
    <t>ROOFING &amp; ACCESSORIES</t>
  </si>
  <si>
    <t>OPENINGS</t>
  </si>
  <si>
    <t>FINISHES</t>
  </si>
  <si>
    <t>FLOORING &amp;WALL BASE</t>
  </si>
  <si>
    <t>CEILINGS</t>
  </si>
  <si>
    <t>EXTERIOR FINISHES</t>
  </si>
  <si>
    <t>DRY WALL ASSEMBLIES</t>
  </si>
  <si>
    <t>SPECIALTIES</t>
  </si>
  <si>
    <t>KITCHEN EQUIPMENT</t>
  </si>
  <si>
    <t>G.C</t>
  </si>
  <si>
    <t>Permits</t>
  </si>
  <si>
    <t>Supervision and Coordination</t>
  </si>
  <si>
    <t>Submittals and Shop drawings</t>
  </si>
  <si>
    <t>Mobilization Costs</t>
  </si>
  <si>
    <t>Temporary Control &amp; Facilities</t>
  </si>
  <si>
    <t>Scaffolding</t>
  </si>
  <si>
    <t>1. Online sources are used for pricing.</t>
  </si>
  <si>
    <t>2. Prices can vary depending upon field conditions.</t>
  </si>
  <si>
    <t>Notes:</t>
  </si>
  <si>
    <t>CABINETRY &amp; MILLWORK</t>
  </si>
  <si>
    <t>GWB CEILING</t>
  </si>
  <si>
    <t>ROOF ACCESSORIES</t>
  </si>
  <si>
    <t>FLASHING &amp; TRIMS</t>
  </si>
  <si>
    <t>ROOFING</t>
  </si>
  <si>
    <t xml:space="preserve">No of Sheets (4'x8') </t>
  </si>
  <si>
    <t xml:space="preserve">Tapping </t>
  </si>
  <si>
    <t xml:space="preserve">Mudding </t>
  </si>
  <si>
    <t>Screws</t>
  </si>
  <si>
    <t>LBs</t>
  </si>
  <si>
    <t>D1.00</t>
  </si>
  <si>
    <t>Remove Wall Panel &amp; Gypsum Board Down To Studs</t>
  </si>
  <si>
    <t>D2.00</t>
  </si>
  <si>
    <t>Note 1/D1.00</t>
  </si>
  <si>
    <t>Note 1/D2.00</t>
  </si>
  <si>
    <t>Note: All Existing Walls Are Assumed To Be 10'-6" High (6" Above Ceiling: 10'-0" AFF).</t>
  </si>
  <si>
    <t>Remove 2'-8" x 7'-0" Single Door</t>
  </si>
  <si>
    <t>Note 2/D2.00</t>
  </si>
  <si>
    <t>Note 3/D2.00</t>
  </si>
  <si>
    <t>Remove And Relocate T-Stat</t>
  </si>
  <si>
    <t>Plan Notes</t>
  </si>
  <si>
    <t>Remove Receptacle</t>
  </si>
  <si>
    <t>Note 17/D2.00</t>
  </si>
  <si>
    <t xml:space="preserve">Demolish Gypsum Wall Board </t>
  </si>
  <si>
    <t>Note 14/D2.00</t>
  </si>
  <si>
    <t>Remove 1'-4" x 1'-4" Diffuser Cover</t>
  </si>
  <si>
    <t>Note 13/D2.00</t>
  </si>
  <si>
    <t>Remove Light Fixtures - Return Lights To Owner</t>
  </si>
  <si>
    <t>Note: Scope Of Work Under This Contract Does Not Include The Repair Of Mechanical And Electrical Or Life Safety Systems As Per G0.00 Dwg. However, To The Extent Of These Systems Is Affected By These Contracts, The Contractor Shall Coordinate The Work With The Owner's Separate Contractors.</t>
  </si>
  <si>
    <t>ELECTRICAL AND MECHANICAL DEMOLITION &amp; REPAIR:</t>
  </si>
  <si>
    <t>Remove ACT Grid And Tile</t>
  </si>
  <si>
    <t>Note 16/D2.00</t>
  </si>
  <si>
    <t>Note 18/D2.00</t>
  </si>
  <si>
    <r>
      <t xml:space="preserve">Remove ACT Ceiling Grid Wall Trim 
</t>
    </r>
    <r>
      <rPr>
        <sz val="12"/>
        <color rgb="FFFF0000"/>
        <rFont val="Times New Roman"/>
        <family val="1"/>
      </rPr>
      <t>Note: Please Confirm If There Is Any Existing ACT Ceiling There Or Not As RCP Shows Light Fixtures On Ceiling</t>
    </r>
    <r>
      <rPr>
        <sz val="12"/>
        <color theme="1"/>
        <rFont val="Times New Roman"/>
        <family val="1"/>
      </rPr>
      <t>.</t>
    </r>
  </si>
  <si>
    <t>Note 15/D2.00</t>
  </si>
  <si>
    <t xml:space="preserve">Remove And Relocate Sensor In Closet </t>
  </si>
  <si>
    <t>WALL BASE:</t>
  </si>
  <si>
    <t>Tile Base - To Match Existing</t>
  </si>
  <si>
    <t>Plan Notes/A1.00</t>
  </si>
  <si>
    <t>FACILITY REMEDIATION</t>
  </si>
  <si>
    <r>
      <t xml:space="preserve">Clean Mold Above Ceiling
</t>
    </r>
    <r>
      <rPr>
        <sz val="12"/>
        <color rgb="FFFF0000"/>
        <rFont val="Times New Roman"/>
        <family val="1"/>
      </rPr>
      <t>Note: Assumed To Be 3'-0" High</t>
    </r>
  </si>
  <si>
    <t>BOARD PANELING:</t>
  </si>
  <si>
    <t>Sealant At Drywall Penetrations</t>
  </si>
  <si>
    <r>
      <rPr>
        <b/>
        <sz val="12"/>
        <color theme="1"/>
        <rFont val="Times New Roman"/>
        <family val="1"/>
      </rPr>
      <t>PT-1:</t>
    </r>
    <r>
      <rPr>
        <sz val="12"/>
        <color theme="1"/>
        <rFont val="Times New Roman"/>
        <family val="1"/>
      </rPr>
      <t xml:space="preserve"> Prepare, Prime And Paint
</t>
    </r>
    <r>
      <rPr>
        <b/>
        <sz val="12"/>
        <color theme="1"/>
        <rFont val="Times New Roman"/>
        <family val="1"/>
      </rPr>
      <t>Mfg.:</t>
    </r>
    <r>
      <rPr>
        <sz val="12"/>
        <color theme="1"/>
        <rFont val="Times New Roman"/>
        <family val="1"/>
      </rPr>
      <t xml:space="preserve"> Benjamin Moore
</t>
    </r>
    <r>
      <rPr>
        <b/>
        <sz val="12"/>
        <color theme="1"/>
        <rFont val="Times New Roman"/>
        <family val="1"/>
      </rPr>
      <t>Color:</t>
    </r>
    <r>
      <rPr>
        <sz val="12"/>
        <color theme="1"/>
        <rFont val="Times New Roman"/>
        <family val="1"/>
      </rPr>
      <t xml:space="preserve"> HC-26 Monroe Bisque</t>
    </r>
  </si>
  <si>
    <r>
      <rPr>
        <b/>
        <sz val="12"/>
        <color theme="1"/>
        <rFont val="Times New Roman"/>
        <family val="1"/>
      </rPr>
      <t>PT-2:</t>
    </r>
    <r>
      <rPr>
        <sz val="12"/>
        <color theme="1"/>
        <rFont val="Times New Roman"/>
        <family val="1"/>
      </rPr>
      <t xml:space="preserve"> Prepare, Prime And Paint
</t>
    </r>
    <r>
      <rPr>
        <b/>
        <sz val="12"/>
        <color theme="1"/>
        <rFont val="Times New Roman"/>
        <family val="1"/>
      </rPr>
      <t>Mfg.:</t>
    </r>
    <r>
      <rPr>
        <sz val="12"/>
        <color theme="1"/>
        <rFont val="Times New Roman"/>
        <family val="1"/>
      </rPr>
      <t xml:space="preserve"> Benjamin Moore
</t>
    </r>
    <r>
      <rPr>
        <b/>
        <sz val="12"/>
        <color theme="1"/>
        <rFont val="Times New Roman"/>
        <family val="1"/>
      </rPr>
      <t>Color:</t>
    </r>
    <r>
      <rPr>
        <sz val="12"/>
        <color theme="1"/>
        <rFont val="Times New Roman"/>
        <family val="1"/>
      </rPr>
      <t xml:space="preserve"> AF-470 Flora</t>
    </r>
  </si>
  <si>
    <r>
      <rPr>
        <b/>
        <sz val="12"/>
        <color theme="1"/>
        <rFont val="Times New Roman"/>
        <family val="1"/>
      </rPr>
      <t>PT-3:</t>
    </r>
    <r>
      <rPr>
        <sz val="12"/>
        <color theme="1"/>
        <rFont val="Times New Roman"/>
        <family val="1"/>
      </rPr>
      <t xml:space="preserve"> Prepare, Prime And Paint
</t>
    </r>
    <r>
      <rPr>
        <b/>
        <sz val="12"/>
        <color theme="1"/>
        <rFont val="Times New Roman"/>
        <family val="1"/>
      </rPr>
      <t>Mfg.:</t>
    </r>
    <r>
      <rPr>
        <sz val="12"/>
        <color theme="1"/>
        <rFont val="Times New Roman"/>
        <family val="1"/>
      </rPr>
      <t xml:space="preserve"> Benjamin Moore
</t>
    </r>
    <r>
      <rPr>
        <b/>
        <sz val="12"/>
        <color theme="1"/>
        <rFont val="Times New Roman"/>
        <family val="1"/>
      </rPr>
      <t>Color:</t>
    </r>
    <r>
      <rPr>
        <sz val="12"/>
        <color theme="1"/>
        <rFont val="Times New Roman"/>
        <family val="1"/>
      </rPr>
      <t xml:space="preserve"> AF-465 Windchime</t>
    </r>
  </si>
  <si>
    <r>
      <t xml:space="preserve">Thermoplastic Rubber Base
</t>
    </r>
    <r>
      <rPr>
        <b/>
        <sz val="12"/>
        <color theme="1"/>
        <rFont val="Times New Roman"/>
        <family val="1"/>
      </rPr>
      <t>Mfg.:</t>
    </r>
    <r>
      <rPr>
        <sz val="12"/>
        <color theme="1"/>
        <rFont val="Times New Roman"/>
        <family val="1"/>
      </rPr>
      <t xml:space="preserve"> Burke Flooring
</t>
    </r>
    <r>
      <rPr>
        <b/>
        <sz val="12"/>
        <color theme="1"/>
        <rFont val="Times New Roman"/>
        <family val="1"/>
      </rPr>
      <t>Approved Equal:</t>
    </r>
    <r>
      <rPr>
        <sz val="12"/>
        <color theme="1"/>
        <rFont val="Times New Roman"/>
        <family val="1"/>
      </rPr>
      <t xml:space="preserve"> Tarkett/Johnsite, Roppe, Flexco
</t>
    </r>
    <r>
      <rPr>
        <b/>
        <sz val="12"/>
        <color theme="1"/>
        <rFont val="Times New Roman"/>
        <family val="1"/>
      </rPr>
      <t>Style:</t>
    </r>
    <r>
      <rPr>
        <sz val="12"/>
        <color theme="1"/>
        <rFont val="Times New Roman"/>
        <family val="1"/>
      </rPr>
      <t xml:space="preserve"> Cove
</t>
    </r>
    <r>
      <rPr>
        <b/>
        <sz val="12"/>
        <color theme="1"/>
        <rFont val="Times New Roman"/>
        <family val="1"/>
      </rPr>
      <t>Thickness:</t>
    </r>
    <r>
      <rPr>
        <sz val="12"/>
        <color theme="1"/>
        <rFont val="Times New Roman"/>
        <family val="1"/>
      </rPr>
      <t xml:space="preserve"> 0.125"
</t>
    </r>
    <r>
      <rPr>
        <b/>
        <sz val="12"/>
        <color theme="1"/>
        <rFont val="Times New Roman"/>
        <family val="1"/>
      </rPr>
      <t>Height:</t>
    </r>
    <r>
      <rPr>
        <sz val="12"/>
        <color theme="1"/>
        <rFont val="Times New Roman"/>
        <family val="1"/>
      </rPr>
      <t xml:space="preserve"> 4"
</t>
    </r>
    <r>
      <rPr>
        <b/>
        <sz val="12"/>
        <color theme="1"/>
        <rFont val="Times New Roman"/>
        <family val="1"/>
      </rPr>
      <t>Color:</t>
    </r>
    <r>
      <rPr>
        <sz val="12"/>
        <color theme="1"/>
        <rFont val="Times New Roman"/>
        <family val="1"/>
      </rPr>
      <t xml:space="preserve"> Match Existing</t>
    </r>
  </si>
  <si>
    <t>Note 5/A1.00</t>
  </si>
  <si>
    <t>A1.00</t>
  </si>
  <si>
    <r>
      <t xml:space="preserve">Remove Door Frame
Plan Dimension: 3'-0" x 7'-0" (Assumed Height)
</t>
    </r>
    <r>
      <rPr>
        <sz val="12"/>
        <color rgb="FFFF0000"/>
        <rFont val="Times New Roman"/>
        <family val="1"/>
      </rPr>
      <t>Note: Remove And Reinstall Doors.</t>
    </r>
  </si>
  <si>
    <r>
      <t xml:space="preserve">Door Frame: 3'-0" x 7'-0" </t>
    </r>
    <r>
      <rPr>
        <sz val="12"/>
        <color rgb="FFFF0000"/>
        <rFont val="Times New Roman"/>
        <family val="1"/>
      </rPr>
      <t>(Assumed Height)</t>
    </r>
    <r>
      <rPr>
        <sz val="12"/>
        <color theme="1"/>
        <rFont val="Times New Roman"/>
        <family val="1"/>
      </rPr>
      <t xml:space="preserve">
- Match Existing</t>
    </r>
  </si>
  <si>
    <t>WOOD, PLASTICS AND COMPOSITES</t>
  </si>
  <si>
    <t>STUDS:</t>
  </si>
  <si>
    <t>Note 6/A1.00, Assumed Details</t>
  </si>
  <si>
    <t>Remove Gypsum Board
- From Floor To Ceiling</t>
  </si>
  <si>
    <t>Note 7/A1.00</t>
  </si>
  <si>
    <t>Remove Gypsum Board
- From Floor To 4'-0" AFF</t>
  </si>
  <si>
    <t>Note 8/A1.00</t>
  </si>
  <si>
    <t>Remove 1/2" CDX Plywood Wall Panels</t>
  </si>
  <si>
    <t>Note 10/A1.00</t>
  </si>
  <si>
    <t>SHEATHING:</t>
  </si>
  <si>
    <t>1/2" CDX Plywood Wall Panels</t>
  </si>
  <si>
    <t>Nails</t>
  </si>
  <si>
    <t>Remove Wall Paneling</t>
  </si>
  <si>
    <t>Note 11/A1.00</t>
  </si>
  <si>
    <t>WALL FINISHES</t>
  </si>
  <si>
    <t>WALL PANELS:</t>
  </si>
  <si>
    <t>THERMAL AND MOISTURE PROTECTION</t>
  </si>
  <si>
    <t>THERMAL PROTECTION</t>
  </si>
  <si>
    <t>THERMAL INSULATION:</t>
  </si>
  <si>
    <t>PAINTING AND COATINGS</t>
  </si>
  <si>
    <t>DOOR PAINT:</t>
  </si>
  <si>
    <t>Note 15/A1.00</t>
  </si>
  <si>
    <t>Seal Bricks With Masonry Sealer</t>
  </si>
  <si>
    <t>Note 16/A1.00</t>
  </si>
  <si>
    <t>Wall Paneling
- Details Not Specified</t>
  </si>
  <si>
    <t>Note 17/A1.00</t>
  </si>
  <si>
    <t>Note 18/A1.00</t>
  </si>
  <si>
    <t>INFORMATION SPECIALITIES</t>
  </si>
  <si>
    <t>SIGNAGES:</t>
  </si>
  <si>
    <t>Note 20/A1.00</t>
  </si>
  <si>
    <t>MISC. PAINT:</t>
  </si>
  <si>
    <t>Note 21/A1.00</t>
  </si>
  <si>
    <t>Note 13/A1.00</t>
  </si>
  <si>
    <t xml:space="preserve">DOOR &amp; FRAME </t>
  </si>
  <si>
    <t>Note 27/A1.00</t>
  </si>
  <si>
    <t>Patch And Repair Damaged GWB - Verify Extent</t>
  </si>
  <si>
    <t xml:space="preserve">Note 8/A1.00, Legend </t>
  </si>
  <si>
    <t xml:space="preserve">Note 7/A1.00, Legend </t>
  </si>
  <si>
    <r>
      <t xml:space="preserve">Remove Gypsum Board: 2'-0" AFF
</t>
    </r>
    <r>
      <rPr>
        <sz val="12"/>
        <color rgb="FFFF0000"/>
        <rFont val="Times New Roman"/>
        <family val="1"/>
      </rPr>
      <t>Note: Gypsum Board To Be Removed 2'-0" High AFF  As Per Legend On A1.00 But 4'-0" High Removal To Be Done As Per Note 8/A1.00. Please Verify.</t>
    </r>
  </si>
  <si>
    <r>
      <t xml:space="preserve">Remove Gypsum Board: 4'-0" AFF
</t>
    </r>
    <r>
      <rPr>
        <sz val="12"/>
        <color rgb="FFFF0000"/>
        <rFont val="Times New Roman"/>
        <family val="1"/>
      </rPr>
      <t>Note: Gypsum Board To Be Removed 4'-0" High AFF As Per Legend On A1.00 But No Removal To Be Done As Per Note 2/A1.00. Please Verify.</t>
    </r>
  </si>
  <si>
    <t xml:space="preserve">Note 2/A1.00, Legend </t>
  </si>
  <si>
    <t>Note 1/A1.00</t>
  </si>
  <si>
    <t>COLD FORM METAL FRAMING</t>
  </si>
  <si>
    <t>METAL STUDS:</t>
  </si>
  <si>
    <t>3-5/8" Metal Studs @ 16" O.C. (10'-6" High)</t>
  </si>
  <si>
    <t>3-5/8" Metal Runner At Top And Bottom</t>
  </si>
  <si>
    <t>2x4 Wooden Top Plate 
- At Proposed Cased Opening</t>
  </si>
  <si>
    <t>2x4 Pressure Treated Wooden Sill Plate 
- At Proposed Cased Opening</t>
  </si>
  <si>
    <t>Door Stop</t>
  </si>
  <si>
    <t>DOOR HARDWARE</t>
  </si>
  <si>
    <t>Plan notes</t>
  </si>
  <si>
    <t>MASONRY CLEANING:</t>
  </si>
  <si>
    <t>Note 20/A1.00F1</t>
  </si>
  <si>
    <t>A1.00F1</t>
  </si>
  <si>
    <t>ACOUSTICAL CEILING TILES:</t>
  </si>
  <si>
    <t>MAINTAINENCE OF FINISHES</t>
  </si>
  <si>
    <t xml:space="preserve">Clean And Deodorize Existing Carpet </t>
  </si>
  <si>
    <t>Note 7/A1.00F1</t>
  </si>
  <si>
    <t>ARCHITECTURAL WOODWORK</t>
  </si>
  <si>
    <t>WOOD TRIMS:</t>
  </si>
  <si>
    <t>Note 17/A1.00F1</t>
  </si>
  <si>
    <t>Note 18/A1.00F1</t>
  </si>
  <si>
    <t>Note 8/A1.00F1</t>
  </si>
  <si>
    <t>Remove 4" Cove Wall Base</t>
  </si>
  <si>
    <t>Remove 6" Decorative Rubber Wall Base</t>
  </si>
  <si>
    <t>Note 9/A1.00F1</t>
  </si>
  <si>
    <t>Note 10/A1.00F1</t>
  </si>
  <si>
    <t>Remove Vinyl Composition Tile 
- Prepare Floor For New Finish</t>
  </si>
  <si>
    <t>TILING</t>
  </si>
  <si>
    <t>FLOOR TILES:</t>
  </si>
  <si>
    <t>Demolish Existing VCT Flooring, Strip And Repair Slab</t>
  </si>
  <si>
    <t>Plan Note 1/A1.00F1</t>
  </si>
  <si>
    <t>A1.00F2</t>
  </si>
  <si>
    <t>Plan Note 1/D1.00</t>
  </si>
  <si>
    <r>
      <t xml:space="preserve">Demo Existing VCT Flooring, Strip And Repair Slab
</t>
    </r>
    <r>
      <rPr>
        <sz val="12"/>
        <color rgb="FFFF0000"/>
        <rFont val="Times New Roman"/>
        <family val="1"/>
      </rPr>
      <t>Note: As Per Note 1 On A1.00F1, Existing VCT Flooring Shall Only Be Stripped And Waxed. But As Per Note On D1.00 All VCT Flooring To Be Removed Where New Finish Is Being Applied. We Have Considered Demolition Of VCT Flooring. Please Verify.</t>
    </r>
  </si>
  <si>
    <t>Patch And Repair Existing Carpet Tile Flooring</t>
  </si>
  <si>
    <t>Floor Finish Legend/A1.00F2</t>
  </si>
  <si>
    <t>Note 5/A1.01</t>
  </si>
  <si>
    <t>A1.01</t>
  </si>
  <si>
    <t>UNIT MASONRY</t>
  </si>
  <si>
    <t>Plan Notes, 5/A5.00</t>
  </si>
  <si>
    <t>CONCRETE MASONRY UNIT:</t>
  </si>
  <si>
    <t>12x8x16 CMU Wall Infill
- Smooth Faced, Running Bond</t>
  </si>
  <si>
    <t>Keynote 042000. C34/A5.00</t>
  </si>
  <si>
    <t xml:space="preserve">12x8x16 CMU U-Block
- Split Faced, Concrete Filled </t>
  </si>
  <si>
    <t>5/A5.00</t>
  </si>
  <si>
    <t>#5 Bar x 19' Long Dowels Into Existing Slab
- Set W/ Epoxy Grout</t>
  </si>
  <si>
    <t>#5 Bar x 12' Long Dowels Into Existing Wall
- Centre In New 12" Block Set W/ Epoxy Grout</t>
  </si>
  <si>
    <t>INTERIOR WALL PAINT:</t>
  </si>
  <si>
    <t>EXTERIOR WALL PAINT:</t>
  </si>
  <si>
    <t>4x8x16 CMU Wall Infill
- Smooth Faced, Running Bond</t>
  </si>
  <si>
    <t>Keynote 042000. C07/A5.00</t>
  </si>
  <si>
    <t>Keynote 042000. F02/A5.00</t>
  </si>
  <si>
    <t>8x8x16 CMU Wall Infill
- Smooth Faced, Running Bond</t>
  </si>
  <si>
    <t>Keynote 042000. C17/A5.00</t>
  </si>
  <si>
    <t>6" Decorative Rubber Wall Base In Kind</t>
  </si>
  <si>
    <t>Specs - 096513-1, Note 8/A1.00F1</t>
  </si>
  <si>
    <t>Note: Seal Gypsum Board With Polyvinyl Acetate (PVA) Latex Primer.</t>
  </si>
  <si>
    <t>Note 14/A1.00</t>
  </si>
  <si>
    <t>Note 10/A2.00</t>
  </si>
  <si>
    <t>Interior Walls:</t>
  </si>
  <si>
    <t>A10.01</t>
  </si>
  <si>
    <t>Specific Notes</t>
  </si>
  <si>
    <t>Remove GWB Ceiling</t>
  </si>
  <si>
    <t>Remove 2 1/4" Crown Molding</t>
  </si>
  <si>
    <t>Repair Flush Profile Metal Soffit Panel</t>
  </si>
  <si>
    <t>TEMPORARY CONSTRUCTION</t>
  </si>
  <si>
    <t>G2.00</t>
  </si>
  <si>
    <t>Specific Note: 1</t>
  </si>
  <si>
    <t>3'-0" x 7'-0" Access Doors</t>
  </si>
  <si>
    <t>MISC.</t>
  </si>
  <si>
    <t>TS 4x12x0.25</t>
  </si>
  <si>
    <t>Specific Note: 6</t>
  </si>
  <si>
    <t>1/2" Fire Retardant Treated Plywood</t>
  </si>
  <si>
    <t>No. of Sheets  (4 x 8)</t>
  </si>
  <si>
    <t>MOLDINGS</t>
  </si>
  <si>
    <t>Specific Note: 10</t>
  </si>
  <si>
    <t>2 1/4" Crown Molding</t>
  </si>
  <si>
    <t>A2.00</t>
  </si>
  <si>
    <t>11-12/A2.0</t>
  </si>
  <si>
    <t xml:space="preserve">2" Wooden Casing </t>
  </si>
  <si>
    <t>JOINT PROTECTION</t>
  </si>
  <si>
    <t xml:space="preserve">SEALANT: </t>
  </si>
  <si>
    <t>Sealant @ Doors</t>
  </si>
  <si>
    <t>Specific Note: 4</t>
  </si>
  <si>
    <t>5/8'' Gypsum Board Ceiling</t>
  </si>
  <si>
    <t>Tapping</t>
  </si>
  <si>
    <t>Mudding</t>
  </si>
  <si>
    <t>Keynotes</t>
  </si>
  <si>
    <t>Aluminum Walkway Cover</t>
  </si>
  <si>
    <t>Reveal Joint Profile Metal Soffit Panel, Perforated</t>
  </si>
  <si>
    <t>1 Layer Of 5/8" Type "X" Abuse Resistant Gypsum Wall Board</t>
  </si>
  <si>
    <t>1 Layer Of 5/8" Type "X" Gypsum Wall Board</t>
  </si>
  <si>
    <t>1 Layer Of 5/8" Type "X" Moisture Resistant Gypsum Wall Board</t>
  </si>
  <si>
    <r>
      <t xml:space="preserve">1 Layer Of 5/8" Type "X" Gypsum Wall Board
- From FFL To 2'-0" AFF
</t>
    </r>
    <r>
      <rPr>
        <sz val="12"/>
        <color rgb="FFFF0000"/>
        <rFont val="Times New Roman"/>
        <family val="1"/>
      </rPr>
      <t>Note: Gypsum Board To Be Removed  2'-0" High AFF As Per Legend On A1.00 But 4'-0" High Removal To Be Done As Per Note 8/A1.00. We Have Added In Base Bid as Per Plan Note. Please Verify.</t>
    </r>
  </si>
  <si>
    <r>
      <t xml:space="preserve">1 Layer Of 5/8" Type "X" Gypsum Wall Board
- From FFL To 4'-0" AFF
</t>
    </r>
    <r>
      <rPr>
        <sz val="12"/>
        <color rgb="FFFF0000"/>
        <rFont val="Times New Roman"/>
        <family val="1"/>
      </rPr>
      <t>Note: Gypsum Board To Be Removed 4'-0" High AFF As Per Legend On A1.00 But No Removal To Be Done As Per Note 2/A1.00. We Have Added In Base Bid As Per Legend. Please Verify.</t>
    </r>
  </si>
  <si>
    <t>Note: Gypsum Board Is Assumed To Be Type "X" GWB For Entire New Walls, As Per Wall Detail On A2.00</t>
  </si>
  <si>
    <t>Wall Type MS3.1/A2.00</t>
  </si>
  <si>
    <t>1 Layer Of 5/8" Cement Backer Board</t>
  </si>
  <si>
    <t>Diagonal Bracing
- Assumed At 24" O.C.</t>
  </si>
  <si>
    <t>Wall Type MS3.1, MS3.2 /A2.00</t>
  </si>
  <si>
    <t>Notes/A1.00, Note 5/A2.00</t>
  </si>
  <si>
    <t>Notes/A1.00</t>
  </si>
  <si>
    <t>D4.00</t>
  </si>
  <si>
    <t>024119.C05-024119.D03-024119.F01</t>
  </si>
  <si>
    <t>Remove Metal Awning</t>
  </si>
  <si>
    <t>A5.00</t>
  </si>
  <si>
    <t>Patch And Repair EIFS</t>
  </si>
  <si>
    <t>Repair Brick Column Cap</t>
  </si>
  <si>
    <t>042000.B02</t>
  </si>
  <si>
    <t>A4.00-A5.00</t>
  </si>
  <si>
    <t>107300.C02/D01/F01/B01</t>
  </si>
  <si>
    <t>Extruded Aluminum Canopy Deck
Size: 6" x 4-1/2"</t>
  </si>
  <si>
    <t>Aluminum Canopy Cover</t>
  </si>
  <si>
    <t>2" x 8" False Fascia @ Canopy</t>
  </si>
  <si>
    <t>A1.00/Keynote 26</t>
  </si>
  <si>
    <t>14" x 14" Canopy Column (9'-9" H)</t>
  </si>
  <si>
    <t>Keynote 074116.R01</t>
  </si>
  <si>
    <t>3.25" Thk Insulated Metal Roof Panels
Mfr: Kingspan Or Greenspan Or Metl-span</t>
  </si>
  <si>
    <t>A4.00/Sections &amp; Keynote 042000.B02-Keynote 107300.F01</t>
  </si>
  <si>
    <t>Interior Ridge Trim</t>
  </si>
  <si>
    <t>Metal Counter Flashing</t>
  </si>
  <si>
    <t>Pre-Finished Metal Flashing</t>
  </si>
  <si>
    <t>Vertical Cap Flashing</t>
  </si>
  <si>
    <t>Metal Through-Wall Flashing</t>
  </si>
  <si>
    <t>Keynote 042000.B02-Keynote 107300.F01</t>
  </si>
  <si>
    <t>Pre-Finished Metal Coping At Brick Columns</t>
  </si>
  <si>
    <t>Ridge Cap</t>
  </si>
  <si>
    <t>Rake Fascia And Strap</t>
  </si>
  <si>
    <t>3" x 4" Metal Downspout W/Bracket (12'-6" H)</t>
  </si>
  <si>
    <t>4" x 12"  x 0.25" Continuous Steel Tube</t>
  </si>
  <si>
    <t>A4.00/Sections &amp; Keynote 079200.S01</t>
  </si>
  <si>
    <t>Mildew- Resistant Joint Sealant
Mfr: General Electric Company Or Pecora Corp Or Dow Corning</t>
  </si>
  <si>
    <t>Keynote 099113.P01</t>
  </si>
  <si>
    <t>AWNINGS</t>
  </si>
  <si>
    <t>A4.00</t>
  </si>
  <si>
    <t>Metal Awning</t>
  </si>
  <si>
    <t>2' Deep Base Cabinets</t>
  </si>
  <si>
    <t>1' D Wall Mounted Cabinets</t>
  </si>
  <si>
    <t>Metal Edge Trim</t>
  </si>
  <si>
    <t>A10.01, A2.00</t>
  </si>
  <si>
    <t>EQUIPMENT</t>
  </si>
  <si>
    <t>FURNISHINGS</t>
  </si>
  <si>
    <t>4" H Sidesplash</t>
  </si>
  <si>
    <t>4" H Backsplash</t>
  </si>
  <si>
    <r>
      <t xml:space="preserve">Remove Gypsum Board: 4'-0" AFF
</t>
    </r>
    <r>
      <rPr>
        <sz val="12"/>
        <color rgb="FFFF0000"/>
        <rFont val="Times New Roman"/>
        <family val="1"/>
      </rPr>
      <t>Note: Gypsum Board To Be Removed 4'-0" High AFF As Per Legend On A1.00 But 10'-0" High Up to Ceiling Removal To Be Done As Per Note 8/A1.00. Please Verify.</t>
    </r>
  </si>
  <si>
    <t>Remove Stud Wall Up to Ceiling</t>
  </si>
  <si>
    <t>Repair Damaged AC Sensor</t>
  </si>
  <si>
    <r>
      <t xml:space="preserve">1 Layer Of 5/8" Type "X" Gypsum Wall Board
- From FFL To 4'-0" AFF
</t>
    </r>
    <r>
      <rPr>
        <sz val="12"/>
        <color rgb="FFFF0000"/>
        <rFont val="Times New Roman"/>
        <family val="1"/>
      </rPr>
      <t>Note: Gypsum Board To Be Removed 4'-0" High AFF As Per Legend On A1.00 But 10'-0" High Up to Ceiling Removal To Be Done As Per Note 8/A1.00. We Have Added In Base Bid as Per Plan Note. Please Verify.</t>
    </r>
  </si>
  <si>
    <t>Note: Wall Base Is Considered Only On The Locations Where Mentioned In Note 8 And 9 Of A1.00F1. However New Flooring Is Being Done On Entire Floor U.N.O.</t>
  </si>
  <si>
    <r>
      <rPr>
        <b/>
        <sz val="12"/>
        <color theme="1"/>
        <rFont val="Times New Roman"/>
        <family val="1"/>
      </rPr>
      <t>Mfg.:</t>
    </r>
    <r>
      <rPr>
        <sz val="12"/>
        <color theme="1"/>
        <rFont val="Times New Roman"/>
        <family val="1"/>
      </rPr>
      <t xml:space="preserve"> ClarkDietrich. 
</t>
    </r>
    <r>
      <rPr>
        <sz val="12"/>
        <color rgb="FFFF0000"/>
        <rFont val="Times New Roman"/>
        <family val="1"/>
      </rPr>
      <t>Refer 092216-1 In Specs Manual For More Approved Manufacturers.</t>
    </r>
  </si>
  <si>
    <t>ADD ALTERNATE</t>
  </si>
  <si>
    <t>Specs. Manual</t>
  </si>
  <si>
    <r>
      <rPr>
        <b/>
        <sz val="12"/>
        <color theme="1"/>
        <rFont val="Times New Roman"/>
        <family val="1"/>
      </rPr>
      <t>PT-5:</t>
    </r>
    <r>
      <rPr>
        <sz val="12"/>
        <color theme="1"/>
        <rFont val="Times New Roman"/>
        <family val="1"/>
      </rPr>
      <t xml:space="preserve"> Prepare, Prime And Paint At Window Trim
</t>
    </r>
    <r>
      <rPr>
        <b/>
        <sz val="12"/>
        <color theme="1"/>
        <rFont val="Times New Roman"/>
        <family val="1"/>
      </rPr>
      <t>Mfg.:</t>
    </r>
    <r>
      <rPr>
        <sz val="12"/>
        <color theme="1"/>
        <rFont val="Times New Roman"/>
        <family val="1"/>
      </rPr>
      <t xml:space="preserve"> Benjamin Moore
</t>
    </r>
    <r>
      <rPr>
        <b/>
        <sz val="12"/>
        <color theme="1"/>
        <rFont val="Times New Roman"/>
        <family val="1"/>
      </rPr>
      <t>Color:</t>
    </r>
    <r>
      <rPr>
        <sz val="12"/>
        <color theme="1"/>
        <rFont val="Times New Roman"/>
        <family val="1"/>
      </rPr>
      <t xml:space="preserve"> AF-155 Weimaraner</t>
    </r>
  </si>
  <si>
    <r>
      <rPr>
        <b/>
        <sz val="12"/>
        <color theme="1"/>
        <rFont val="Times New Roman"/>
        <family val="1"/>
      </rPr>
      <t xml:space="preserve">Mfg.: </t>
    </r>
    <r>
      <rPr>
        <sz val="12"/>
        <color theme="1"/>
        <rFont val="Times New Roman"/>
        <family val="1"/>
      </rPr>
      <t xml:space="preserve">USG Corporation
</t>
    </r>
    <r>
      <rPr>
        <b/>
        <sz val="12"/>
        <color theme="1"/>
        <rFont val="Times New Roman"/>
        <family val="1"/>
      </rPr>
      <t xml:space="preserve">Basis-of-Design: </t>
    </r>
    <r>
      <rPr>
        <sz val="12"/>
        <color theme="1"/>
        <rFont val="Times New Roman"/>
        <family val="1"/>
      </rPr>
      <t>USG “Sheetrock Brand EcoSmart Panels, Firecode X” 
Refer 092900-1 In Specs Manual For More Approve Mfg.</t>
    </r>
  </si>
  <si>
    <t xml:space="preserve">2x2 Suspended Ceiling Grid
Basis Of Design: US Gypsum; Radar ClimaPlus 2210
Approved Equal: 
1. Armstrong Work industries, Inc 
2. CertainTeed Corp. 
Color: White. 
Light Reflectance (LR): 84. 
Thickness: 5/8 inch (15 mm)
Classification: Type III, Form 2, Pattern CD. </t>
  </si>
  <si>
    <t xml:space="preserve">2x2 Acoustical Panel Ceiling Tiles
Basis Of Design: US Gypsum; Radar ClimaPlus 2210
Approved Equal: 
1. Armstrong Work industries, Inc 
2. CertainTeed Corp. 
Color: White. 
Light Reflectance (LR): 84. 
Thickness: 5/8 inch (15 mm) 
Classification: Type III, Form 2, Pattern CD. </t>
  </si>
  <si>
    <t>2x4 Suspended Ceiling Grid
Basis Of Design: US Gypsum
Approved Equal: 
1. Armstrong Work industries, Inc 
2. CertainTeed Corp. 
Color: White. 
Light Reflectance (LR): 84. 
Thickness: 5/8 inch (15 mm)
Classification: Match Existing</t>
  </si>
  <si>
    <t>2x4 Acoustical Panel Ceiling Tiles
Basis Of Design: US Gypsum
Approved Equal: 
1. Armstrong Work industries, Inc 
2. CertainTeed Corp. 
Color: White. 
Light Reflectance (LR): 84. 
Thickness: 5/8 inch (15 mm)
Classification: Match Existing</t>
  </si>
  <si>
    <t>2x4 Acoustical Ceiling Tile 
- Provide Tiles In Grid Where Missing
Basis Of Design: US Gypsum
Approved Equal: 
1. Armstrong Work industries, Inc 
2. CertainTeed Corp. 
Color: White. 
Light Reflectance (LR): 84. 
Thickness: 5/8 inch (15 mm)
Classification: Match Existing</t>
  </si>
  <si>
    <t>Note 5/A1.01, 095113-2 Specs.</t>
  </si>
  <si>
    <t>Specific Notes, 095113-2 Specs</t>
  </si>
  <si>
    <r>
      <rPr>
        <b/>
        <sz val="12"/>
        <color theme="1"/>
        <rFont val="Times New Roman"/>
        <family val="1"/>
      </rPr>
      <t xml:space="preserve">Tag: </t>
    </r>
    <r>
      <rPr>
        <sz val="12"/>
        <color theme="1"/>
        <rFont val="Times New Roman"/>
        <family val="1"/>
      </rPr>
      <t xml:space="preserve">LVT-1
</t>
    </r>
    <r>
      <rPr>
        <b/>
        <sz val="12"/>
        <color theme="1"/>
        <rFont val="Times New Roman"/>
        <family val="1"/>
      </rPr>
      <t>Description:</t>
    </r>
    <r>
      <rPr>
        <sz val="12"/>
        <color theme="1"/>
        <rFont val="Times New Roman"/>
        <family val="1"/>
      </rPr>
      <t xml:space="preserve"> Solid Luxury Vinyl Floor Tiles
</t>
    </r>
    <r>
      <rPr>
        <b/>
        <sz val="12"/>
        <color theme="1"/>
        <rFont val="Times New Roman"/>
        <family val="1"/>
      </rPr>
      <t>Basis Of Design:</t>
    </r>
    <r>
      <rPr>
        <sz val="12"/>
        <color theme="1"/>
        <rFont val="Times New Roman"/>
        <family val="1"/>
      </rPr>
      <t xml:space="preserve">  Tarkett iD Latitude Wood 
</t>
    </r>
    <r>
      <rPr>
        <b/>
        <sz val="12"/>
        <color theme="1"/>
        <rFont val="Times New Roman"/>
        <family val="1"/>
      </rPr>
      <t xml:space="preserve">Size: </t>
    </r>
    <r>
      <rPr>
        <sz val="12"/>
        <color theme="1"/>
        <rFont val="Times New Roman"/>
        <family val="1"/>
      </rPr>
      <t xml:space="preserve">6" x 48"
</t>
    </r>
    <r>
      <rPr>
        <b/>
        <sz val="12"/>
        <color theme="1"/>
        <rFont val="Times New Roman"/>
        <family val="1"/>
      </rPr>
      <t>Thickness:</t>
    </r>
    <r>
      <rPr>
        <sz val="12"/>
        <color theme="1"/>
        <rFont val="Times New Roman"/>
        <family val="1"/>
      </rPr>
      <t xml:space="preserve"> 0.120 inch
Refer 096519-2 In Specs Manual For More Approved Manufacturers.</t>
    </r>
  </si>
  <si>
    <r>
      <rPr>
        <b/>
        <sz val="12"/>
        <color theme="1"/>
        <rFont val="Times New Roman"/>
        <family val="1"/>
      </rPr>
      <t xml:space="preserve">Tag: </t>
    </r>
    <r>
      <rPr>
        <sz val="12"/>
        <color theme="1"/>
        <rFont val="Times New Roman"/>
        <family val="1"/>
      </rPr>
      <t xml:space="preserve">LVT-2
</t>
    </r>
    <r>
      <rPr>
        <b/>
        <sz val="12"/>
        <color theme="1"/>
        <rFont val="Times New Roman"/>
        <family val="1"/>
      </rPr>
      <t>Description:</t>
    </r>
    <r>
      <rPr>
        <sz val="12"/>
        <color theme="1"/>
        <rFont val="Times New Roman"/>
        <family val="1"/>
      </rPr>
      <t xml:space="preserve"> Solid Luxury Vinyl Floor Tiles
</t>
    </r>
    <r>
      <rPr>
        <b/>
        <sz val="12"/>
        <color theme="1"/>
        <rFont val="Times New Roman"/>
        <family val="1"/>
      </rPr>
      <t>Basis Of Design:</t>
    </r>
    <r>
      <rPr>
        <sz val="12"/>
        <color theme="1"/>
        <rFont val="Times New Roman"/>
        <family val="1"/>
      </rPr>
      <t xml:space="preserve"> Tarkett iD Latitude Abstract 
</t>
    </r>
    <r>
      <rPr>
        <b/>
        <sz val="12"/>
        <color theme="1"/>
        <rFont val="Times New Roman"/>
        <family val="1"/>
      </rPr>
      <t xml:space="preserve">Size: </t>
    </r>
    <r>
      <rPr>
        <sz val="12"/>
        <color theme="1"/>
        <rFont val="Times New Roman"/>
        <family val="1"/>
      </rPr>
      <t xml:space="preserve">6" x 36" 
</t>
    </r>
    <r>
      <rPr>
        <b/>
        <sz val="12"/>
        <color theme="1"/>
        <rFont val="Times New Roman"/>
        <family val="1"/>
      </rPr>
      <t>Thickness:</t>
    </r>
    <r>
      <rPr>
        <sz val="12"/>
        <color theme="1"/>
        <rFont val="Times New Roman"/>
        <family val="1"/>
      </rPr>
      <t xml:space="preserve"> 0.120 inch
Refer 096519-2 In Specs Manual For More Approved Manufacturers.</t>
    </r>
  </si>
  <si>
    <r>
      <rPr>
        <b/>
        <sz val="12"/>
        <color theme="1"/>
        <rFont val="Times New Roman"/>
        <family val="1"/>
      </rPr>
      <t xml:space="preserve">Tag: </t>
    </r>
    <r>
      <rPr>
        <sz val="12"/>
        <color theme="1"/>
        <rFont val="Times New Roman"/>
        <family val="1"/>
      </rPr>
      <t xml:space="preserve">LVT-3
</t>
    </r>
    <r>
      <rPr>
        <b/>
        <sz val="12"/>
        <color theme="1"/>
        <rFont val="Times New Roman"/>
        <family val="1"/>
      </rPr>
      <t>Description:</t>
    </r>
    <r>
      <rPr>
        <sz val="12"/>
        <color theme="1"/>
        <rFont val="Times New Roman"/>
        <family val="1"/>
      </rPr>
      <t xml:space="preserve"> Solid Luxury Vinyl Floor Tiles
</t>
    </r>
    <r>
      <rPr>
        <b/>
        <sz val="12"/>
        <color theme="1"/>
        <rFont val="Times New Roman"/>
        <family val="1"/>
      </rPr>
      <t>Basis of Design:</t>
    </r>
    <r>
      <rPr>
        <sz val="12"/>
        <color theme="1"/>
        <rFont val="Times New Roman"/>
        <family val="1"/>
      </rPr>
      <t xml:space="preserve"> Tarkett Victory Series
</t>
    </r>
    <r>
      <rPr>
        <b/>
        <sz val="12"/>
        <color theme="1"/>
        <rFont val="Times New Roman"/>
        <family val="1"/>
      </rPr>
      <t xml:space="preserve">Size: </t>
    </r>
    <r>
      <rPr>
        <sz val="12"/>
        <color theme="1"/>
        <rFont val="Times New Roman"/>
        <family val="1"/>
      </rPr>
      <t xml:space="preserve">Custom Cut To Create Logo That Is Approx.10'-0" Diameter. 
10 feet Dia. "Lafourche Parish Government" Logo 
- Confirm Design With Owner
</t>
    </r>
    <r>
      <rPr>
        <b/>
        <sz val="12"/>
        <color theme="1"/>
        <rFont val="Times New Roman"/>
        <family val="1"/>
      </rPr>
      <t>Thickness:</t>
    </r>
    <r>
      <rPr>
        <sz val="12"/>
        <color theme="1"/>
        <rFont val="Times New Roman"/>
        <family val="1"/>
      </rPr>
      <t xml:space="preserve"> 0.120 inch
Refer 096519-2 In Specs Manual For More Approved Manufacturers.
</t>
    </r>
    <r>
      <rPr>
        <sz val="12"/>
        <color rgb="FFFF0000"/>
        <rFont val="Times New Roman"/>
        <family val="1"/>
      </rPr>
      <t>Note: Dia. Of Logo To Be 6'-0" As Per Specs. Document. Please Verify.</t>
    </r>
  </si>
  <si>
    <t xml:space="preserve">
Note 1/A1.00F2, 2/A1.01</t>
  </si>
  <si>
    <r>
      <rPr>
        <b/>
        <sz val="12"/>
        <color theme="1"/>
        <rFont val="Times New Roman"/>
        <family val="1"/>
      </rPr>
      <t xml:space="preserve">Tag: </t>
    </r>
    <r>
      <rPr>
        <sz val="12"/>
        <color theme="1"/>
        <rFont val="Times New Roman"/>
        <family val="1"/>
      </rPr>
      <t xml:space="preserve">LVT-4
</t>
    </r>
    <r>
      <rPr>
        <b/>
        <sz val="12"/>
        <color theme="1"/>
        <rFont val="Times New Roman"/>
        <family val="1"/>
      </rPr>
      <t>Description:</t>
    </r>
    <r>
      <rPr>
        <sz val="12"/>
        <color theme="1"/>
        <rFont val="Times New Roman"/>
        <family val="1"/>
      </rPr>
      <t xml:space="preserve"> Solid Luxury Vinyl Floor Tiles
</t>
    </r>
    <r>
      <rPr>
        <b/>
        <sz val="12"/>
        <color theme="1"/>
        <rFont val="Times New Roman"/>
        <family val="1"/>
      </rPr>
      <t>Basis of Design:</t>
    </r>
    <r>
      <rPr>
        <sz val="12"/>
        <color theme="1"/>
        <rFont val="Times New Roman"/>
        <family val="1"/>
      </rPr>
      <t xml:space="preserve"> TBD
</t>
    </r>
    <r>
      <rPr>
        <b/>
        <sz val="12"/>
        <color theme="1"/>
        <rFont val="Times New Roman"/>
        <family val="1"/>
      </rPr>
      <t xml:space="preserve">Size: </t>
    </r>
    <r>
      <rPr>
        <sz val="12"/>
        <color theme="1"/>
        <rFont val="Times New Roman"/>
        <family val="1"/>
      </rPr>
      <t xml:space="preserve">18" x 18" 
</t>
    </r>
    <r>
      <rPr>
        <b/>
        <sz val="12"/>
        <color theme="1"/>
        <rFont val="Times New Roman"/>
        <family val="1"/>
      </rPr>
      <t>Thickness:</t>
    </r>
    <r>
      <rPr>
        <sz val="12"/>
        <color theme="1"/>
        <rFont val="Times New Roman"/>
        <family val="1"/>
      </rPr>
      <t xml:space="preserve"> 0.120 inch</t>
    </r>
  </si>
  <si>
    <r>
      <rPr>
        <b/>
        <sz val="12"/>
        <color theme="1"/>
        <rFont val="Times New Roman"/>
        <family val="1"/>
      </rPr>
      <t xml:space="preserve">Tag: </t>
    </r>
    <r>
      <rPr>
        <sz val="12"/>
        <color theme="1"/>
        <rFont val="Times New Roman"/>
        <family val="1"/>
      </rPr>
      <t xml:space="preserve">VCT-1 
</t>
    </r>
    <r>
      <rPr>
        <b/>
        <sz val="12"/>
        <color theme="1"/>
        <rFont val="Times New Roman"/>
        <family val="1"/>
      </rPr>
      <t xml:space="preserve">Description: </t>
    </r>
    <r>
      <rPr>
        <sz val="12"/>
        <color theme="1"/>
        <rFont val="Times New Roman"/>
        <family val="1"/>
      </rPr>
      <t xml:space="preserve">Vinyl Composition Floor Tiles
</t>
    </r>
    <r>
      <rPr>
        <b/>
        <sz val="12"/>
        <color theme="1"/>
        <rFont val="Times New Roman"/>
        <family val="1"/>
      </rPr>
      <t>Mfg.:</t>
    </r>
    <r>
      <rPr>
        <sz val="12"/>
        <color theme="1"/>
        <rFont val="Times New Roman"/>
        <family val="1"/>
      </rPr>
      <t xml:space="preserve"> Armstrong World Industries, Inc.; 
</t>
    </r>
    <r>
      <rPr>
        <b/>
        <sz val="12"/>
        <color theme="1"/>
        <rFont val="Times New Roman"/>
        <family val="1"/>
      </rPr>
      <t xml:space="preserve">Product: </t>
    </r>
    <r>
      <rPr>
        <sz val="12"/>
        <color theme="1"/>
        <rFont val="Times New Roman"/>
        <family val="1"/>
      </rPr>
      <t xml:space="preserve">Standard EXCELON. 
</t>
    </r>
    <r>
      <rPr>
        <b/>
        <sz val="12"/>
        <color theme="1"/>
        <rFont val="Times New Roman"/>
        <family val="1"/>
      </rPr>
      <t xml:space="preserve">Color: </t>
    </r>
    <r>
      <rPr>
        <sz val="12"/>
        <color theme="1"/>
        <rFont val="Times New Roman"/>
        <family val="1"/>
      </rPr>
      <t xml:space="preserve">Existing colors are 51927 Field Gray, 51868 Smokey Brown, and 51953 Pearl White
</t>
    </r>
    <r>
      <rPr>
        <b/>
        <sz val="12"/>
        <color theme="1"/>
        <rFont val="Times New Roman"/>
        <family val="1"/>
      </rPr>
      <t>Wearing Surface:</t>
    </r>
    <r>
      <rPr>
        <sz val="12"/>
        <color theme="1"/>
        <rFont val="Times New Roman"/>
        <family val="1"/>
      </rPr>
      <t xml:space="preserve"> Smooth. 
</t>
    </r>
    <r>
      <rPr>
        <b/>
        <sz val="12"/>
        <color theme="1"/>
        <rFont val="Times New Roman"/>
        <family val="1"/>
      </rPr>
      <t xml:space="preserve">Thickness: </t>
    </r>
    <r>
      <rPr>
        <sz val="12"/>
        <color theme="1"/>
        <rFont val="Times New Roman"/>
        <family val="1"/>
      </rPr>
      <t xml:space="preserve">0.125 inch
</t>
    </r>
    <r>
      <rPr>
        <b/>
        <sz val="12"/>
        <color theme="1"/>
        <rFont val="Times New Roman"/>
        <family val="1"/>
      </rPr>
      <t xml:space="preserve">Size: </t>
    </r>
    <r>
      <rPr>
        <sz val="12"/>
        <color theme="1"/>
        <rFont val="Times New Roman"/>
        <family val="1"/>
      </rPr>
      <t>12 by 12 inches</t>
    </r>
  </si>
  <si>
    <t>Specs Manual</t>
  </si>
  <si>
    <r>
      <t xml:space="preserve">Applied Treatments: 
1. </t>
    </r>
    <r>
      <rPr>
        <sz val="12"/>
        <color theme="1"/>
        <rFont val="Times New Roman"/>
        <family val="1"/>
      </rPr>
      <t>Soil-Resistance Treatment</t>
    </r>
    <r>
      <rPr>
        <b/>
        <sz val="12"/>
        <color theme="1"/>
        <rFont val="Times New Roman"/>
        <family val="1"/>
      </rPr>
      <t xml:space="preserve">
2. </t>
    </r>
    <r>
      <rPr>
        <sz val="12"/>
        <color theme="1"/>
        <rFont val="Times New Roman"/>
        <family val="1"/>
      </rPr>
      <t>Antimicrobial Treatment</t>
    </r>
  </si>
  <si>
    <r>
      <t xml:space="preserve">FRP Panels
- Prepare GWB Surface Below To Accept FRP
- Division Bars, Corner Trim, Bottom J-Bead
</t>
    </r>
    <r>
      <rPr>
        <b/>
        <sz val="12"/>
        <color theme="1"/>
        <rFont val="Times New Roman"/>
        <family val="1"/>
      </rPr>
      <t xml:space="preserve">Basis Of Design: </t>
    </r>
    <r>
      <rPr>
        <sz val="12"/>
        <color theme="1"/>
        <rFont val="Times New Roman"/>
        <family val="1"/>
      </rPr>
      <t xml:space="preserve">Crane Composites, Inc. Varietex Panels
</t>
    </r>
    <r>
      <rPr>
        <b/>
        <sz val="12"/>
        <color theme="1"/>
        <rFont val="Times New Roman"/>
        <family val="1"/>
      </rPr>
      <t xml:space="preserve">Pattern: </t>
    </r>
    <r>
      <rPr>
        <sz val="12"/>
        <color theme="1"/>
        <rFont val="Times New Roman"/>
        <family val="1"/>
      </rPr>
      <t xml:space="preserve">Linen Texture 
</t>
    </r>
    <r>
      <rPr>
        <b/>
        <sz val="12"/>
        <color theme="1"/>
        <rFont val="Times New Roman"/>
        <family val="1"/>
      </rPr>
      <t>Size:</t>
    </r>
    <r>
      <rPr>
        <sz val="12"/>
        <color theme="1"/>
        <rFont val="Times New Roman"/>
        <family val="1"/>
      </rPr>
      <t xml:space="preserve"> 4 feet × 8 feet. 
</t>
    </r>
    <r>
      <rPr>
        <b/>
        <sz val="12"/>
        <color theme="1"/>
        <rFont val="Times New Roman"/>
        <family val="1"/>
      </rPr>
      <t>Moldings:</t>
    </r>
    <r>
      <rPr>
        <sz val="12"/>
        <color theme="1"/>
        <rFont val="Times New Roman"/>
        <family val="1"/>
      </rPr>
      <t xml:space="preserve"> Provide Harmonizing PVC (Polyvinyl Chloride) Moldings.  
</t>
    </r>
    <r>
      <rPr>
        <b/>
        <sz val="12"/>
        <color theme="1"/>
        <rFont val="Times New Roman"/>
        <family val="1"/>
      </rPr>
      <t>Fasteners:</t>
    </r>
    <r>
      <rPr>
        <sz val="12"/>
        <color theme="1"/>
        <rFont val="Times New Roman"/>
        <family val="1"/>
      </rPr>
      <t xml:space="preserve"> Noncorrosive drive rivets. </t>
    </r>
  </si>
  <si>
    <r>
      <t xml:space="preserve">Round. Plastic Bollard Guard Covers @ 6" Dia , 3' H Bollards
</t>
    </r>
    <r>
      <rPr>
        <b/>
        <sz val="12"/>
        <color theme="1"/>
        <rFont val="Times New Roman"/>
        <family val="1"/>
      </rPr>
      <t>Mfg.:</t>
    </r>
    <r>
      <rPr>
        <sz val="12"/>
        <color theme="1"/>
        <rFont val="Times New Roman"/>
        <family val="1"/>
      </rPr>
      <t xml:space="preserve"> Benjamin Moore
</t>
    </r>
    <r>
      <rPr>
        <b/>
        <sz val="12"/>
        <color theme="1"/>
        <rFont val="Times New Roman"/>
        <family val="1"/>
      </rPr>
      <t xml:space="preserve">Material: </t>
    </r>
    <r>
      <rPr>
        <sz val="12"/>
        <color theme="1"/>
        <rFont val="Times New Roman"/>
        <family val="1"/>
      </rPr>
      <t xml:space="preserve">High Density Polyethylene 
</t>
    </r>
    <r>
      <rPr>
        <b/>
        <sz val="12"/>
        <color theme="1"/>
        <rFont val="Times New Roman"/>
        <family val="1"/>
      </rPr>
      <t>Color:</t>
    </r>
    <r>
      <rPr>
        <sz val="12"/>
        <color theme="1"/>
        <rFont val="Times New Roman"/>
        <family val="1"/>
      </rPr>
      <t xml:space="preserve"> Yellow (Copley Gray-HC-104 As Per Specs)</t>
    </r>
    <r>
      <rPr>
        <b/>
        <sz val="12"/>
        <color theme="1"/>
        <rFont val="Times New Roman"/>
        <family val="1"/>
      </rPr>
      <t xml:space="preserve">
Stripes:</t>
    </r>
    <r>
      <rPr>
        <sz val="12"/>
        <color theme="1"/>
        <rFont val="Times New Roman"/>
        <family val="1"/>
      </rPr>
      <t xml:space="preserve"> 2 Red Reflective 3/4" Thk</t>
    </r>
  </si>
  <si>
    <t>Prepare, Prime And Paint @ 2 1/4" Crown Molding</t>
  </si>
  <si>
    <r>
      <t xml:space="preserve">Paint At All Exposed Steel @ Porte Cochere Roof
</t>
    </r>
    <r>
      <rPr>
        <b/>
        <sz val="12"/>
        <color theme="1"/>
        <rFont val="Times New Roman"/>
        <family val="1"/>
      </rPr>
      <t>Mfr:</t>
    </r>
    <r>
      <rPr>
        <sz val="12"/>
        <color theme="1"/>
        <rFont val="Times New Roman"/>
        <family val="1"/>
      </rPr>
      <t xml:space="preserve"> Benjamin Moore Or PPG
</t>
    </r>
    <r>
      <rPr>
        <b/>
        <sz val="12"/>
        <color theme="1"/>
        <rFont val="Times New Roman"/>
        <family val="1"/>
      </rPr>
      <t>Color:</t>
    </r>
    <r>
      <rPr>
        <sz val="12"/>
        <color theme="1"/>
        <rFont val="Times New Roman"/>
        <family val="1"/>
      </rPr>
      <t xml:space="preserve"> Bennington Gray-HC-82
</t>
    </r>
    <r>
      <rPr>
        <b/>
        <sz val="12"/>
        <color theme="1"/>
        <rFont val="Times New Roman"/>
        <family val="1"/>
      </rPr>
      <t xml:space="preserve">Water Based Primer Coat: </t>
    </r>
    <r>
      <rPr>
        <sz val="12"/>
        <color theme="1"/>
        <rFont val="Times New Roman"/>
        <family val="1"/>
      </rPr>
      <t xml:space="preserve">Sherwin Williams B66W00011 Pro Industrial Acrylic Primer
</t>
    </r>
    <r>
      <rPr>
        <b/>
        <sz val="12"/>
        <color theme="1"/>
        <rFont val="Times New Roman"/>
        <family val="1"/>
      </rPr>
      <t>Intermediate Coat:</t>
    </r>
    <r>
      <rPr>
        <sz val="12"/>
        <color theme="1"/>
        <rFont val="Times New Roman"/>
        <family val="1"/>
      </rPr>
      <t xml:space="preserve"> Light industrial coating, exterior, water based, matching topcoat. 
</t>
    </r>
    <r>
      <rPr>
        <b/>
        <sz val="12"/>
        <color theme="1"/>
        <rFont val="Times New Roman"/>
        <family val="1"/>
      </rPr>
      <t xml:space="preserve">Semigloss Topcoat: </t>
    </r>
    <r>
      <rPr>
        <sz val="12"/>
        <color theme="1"/>
        <rFont val="Times New Roman"/>
        <family val="1"/>
      </rPr>
      <t xml:space="preserve">Light industrial coating, exterior, water based, semigloss  - Sherwin Williams B66W00651 Pro Industrial DTM Acrylic Semi-Gloss Coating
</t>
    </r>
    <r>
      <rPr>
        <b/>
        <sz val="12"/>
        <color theme="1"/>
        <rFont val="Times New Roman"/>
        <family val="1"/>
      </rPr>
      <t>Note: This Paint Includes The Paint Of Exposed Steel Tube</t>
    </r>
    <r>
      <rPr>
        <sz val="12"/>
        <color theme="1"/>
        <rFont val="Times New Roman"/>
        <family val="1"/>
      </rPr>
      <t>s.</t>
    </r>
  </si>
  <si>
    <t>INTERIOR STUD WALL PAINT:</t>
  </si>
  <si>
    <t>INTERIOR MASONRY WALL PAINT:</t>
  </si>
  <si>
    <r>
      <t xml:space="preserve">Prepare, Prime And Paint Stair Railing
- Assumed To Be 3'-6" High
</t>
    </r>
    <r>
      <rPr>
        <b/>
        <sz val="12"/>
        <color theme="1"/>
        <rFont val="Times New Roman"/>
        <family val="1"/>
      </rPr>
      <t>Intermediate Coat:</t>
    </r>
    <r>
      <rPr>
        <sz val="12"/>
        <color theme="1"/>
        <rFont val="Times New Roman"/>
        <family val="1"/>
      </rPr>
      <t xml:space="preserve"> Latex, interior, Matching Topcoat. 
</t>
    </r>
    <r>
      <rPr>
        <b/>
        <sz val="12"/>
        <color theme="1"/>
        <rFont val="Times New Roman"/>
        <family val="1"/>
      </rPr>
      <t>Topcoat:</t>
    </r>
    <r>
      <rPr>
        <sz val="12"/>
        <color theme="1"/>
        <rFont val="Times New Roman"/>
        <family val="1"/>
      </rPr>
      <t xml:space="preserve"> Latex, Interior, Semigloss (MPI Gloss Level 5), MPI #54. 
Sherwin Williams A76W00051 – Solo 100% Acrylic Semi-Gloss 
Interior/Exterior. </t>
    </r>
  </si>
  <si>
    <r>
      <rPr>
        <b/>
        <sz val="12"/>
        <color theme="1"/>
        <rFont val="Times New Roman"/>
        <family val="1"/>
      </rPr>
      <t>Prime Coat:</t>
    </r>
    <r>
      <rPr>
        <sz val="12"/>
        <color theme="1"/>
        <rFont val="Times New Roman"/>
        <family val="1"/>
      </rPr>
      <t xml:space="preserve"> Primer, latex, for interior wood, MPI #39. - Sherwin Williams B51W00620 PrepRite ProBlock Latex Primer Sealer  
</t>
    </r>
    <r>
      <rPr>
        <b/>
        <sz val="12"/>
        <color theme="1"/>
        <rFont val="Times New Roman"/>
        <family val="1"/>
      </rPr>
      <t xml:space="preserve">Intermediate Coat: </t>
    </r>
    <r>
      <rPr>
        <sz val="12"/>
        <color theme="1"/>
        <rFont val="Times New Roman"/>
        <family val="1"/>
      </rPr>
      <t xml:space="preserve">Latex, interior, matching topcoat. 
</t>
    </r>
    <r>
      <rPr>
        <b/>
        <sz val="12"/>
        <color theme="1"/>
        <rFont val="Times New Roman"/>
        <family val="1"/>
      </rPr>
      <t xml:space="preserve">Topcoat: </t>
    </r>
    <r>
      <rPr>
        <sz val="12"/>
        <color theme="1"/>
        <rFont val="Times New Roman"/>
        <family val="1"/>
      </rPr>
      <t>Latex, interior, semigloss (MPI Gloss Level 5), MPI #54. Sherwin Williams A76W00051 – Solo 100% Acrylic Semi-Gloss 
Interior/Exterior.</t>
    </r>
  </si>
  <si>
    <r>
      <rPr>
        <b/>
        <sz val="12"/>
        <color theme="1"/>
        <rFont val="Times New Roman"/>
        <family val="1"/>
      </rPr>
      <t>Intermediate Coat:</t>
    </r>
    <r>
      <rPr>
        <sz val="12"/>
        <color theme="1"/>
        <rFont val="Times New Roman"/>
        <family val="1"/>
      </rPr>
      <t xml:space="preserve"> Latex, interior, Matching Topcoat. 
</t>
    </r>
    <r>
      <rPr>
        <b/>
        <sz val="12"/>
        <color theme="1"/>
        <rFont val="Times New Roman"/>
        <family val="1"/>
      </rPr>
      <t xml:space="preserve">Topcoat: </t>
    </r>
    <r>
      <rPr>
        <sz val="12"/>
        <color theme="1"/>
        <rFont val="Times New Roman"/>
        <family val="1"/>
      </rPr>
      <t xml:space="preserve">Latex, interior (MPI Gloss Level 2), MPI #44 - Sherwin Williams A87W01151, SuperPaint Interior Latex Satin </t>
    </r>
  </si>
  <si>
    <t>Aluminum Canopy Beam
- Extruded Aluminum 6” X 8</t>
  </si>
  <si>
    <t>Components from the following: 
1. Ava-Deck 
2. Peachtree Protective Covers: Flat L-Bent (Basis of Design) 
3. Ditt-Deck 
4. Perfection Architectural Systems, Inc. 
5. Superior Metal Products Co. 
6. E. L. Burns Co., Inc</t>
  </si>
  <si>
    <r>
      <t xml:space="preserve">Refrigerator W/Ice Maker
</t>
    </r>
    <r>
      <rPr>
        <b/>
        <sz val="12"/>
        <color theme="1"/>
        <rFont val="Times New Roman"/>
        <family val="1"/>
      </rPr>
      <t>Mfg.:</t>
    </r>
    <r>
      <rPr>
        <sz val="12"/>
        <color theme="1"/>
        <rFont val="Times New Roman"/>
        <family val="1"/>
      </rPr>
      <t xml:space="preserve"> GE Appliances 
</t>
    </r>
    <r>
      <rPr>
        <b/>
        <sz val="12"/>
        <color theme="1"/>
        <rFont val="Times New Roman"/>
        <family val="1"/>
      </rPr>
      <t>Basis of Design:</t>
    </r>
    <r>
      <rPr>
        <sz val="12"/>
        <color theme="1"/>
        <rFont val="Times New Roman"/>
        <family val="1"/>
      </rPr>
      <t xml:space="preserve"> Model No.: GTS17DRNWN
</t>
    </r>
    <r>
      <rPr>
        <b/>
        <sz val="12"/>
        <color theme="1"/>
        <rFont val="Times New Roman"/>
        <family val="1"/>
      </rPr>
      <t>Type:</t>
    </r>
    <r>
      <rPr>
        <sz val="12"/>
        <color theme="1"/>
        <rFont val="Times New Roman"/>
        <family val="1"/>
      </rPr>
      <t xml:space="preserve"> Freestanding. 
</t>
    </r>
    <r>
      <rPr>
        <b/>
        <sz val="12"/>
        <color theme="1"/>
        <rFont val="Times New Roman"/>
        <family val="1"/>
      </rPr>
      <t>Size:</t>
    </r>
    <r>
      <rPr>
        <sz val="12"/>
        <color theme="1"/>
        <rFont val="Times New Roman"/>
        <family val="1"/>
      </rPr>
      <t xml:space="preserve"> 28 1/2" x 32 5/8" x 64 3/4" 
</t>
    </r>
    <r>
      <rPr>
        <b/>
        <sz val="12"/>
        <color theme="1"/>
        <rFont val="Times New Roman"/>
        <family val="1"/>
      </rPr>
      <t>Color:</t>
    </r>
    <r>
      <rPr>
        <sz val="12"/>
        <color theme="1"/>
        <rFont val="Times New Roman"/>
        <family val="1"/>
      </rPr>
      <t xml:space="preserve"> White </t>
    </r>
  </si>
  <si>
    <r>
      <t xml:space="preserve">Electric Cooking Range / Overhead Exhaust Hood
</t>
    </r>
    <r>
      <rPr>
        <b/>
        <sz val="12"/>
        <color theme="1"/>
        <rFont val="Times New Roman"/>
        <family val="1"/>
      </rPr>
      <t xml:space="preserve">Mfg.: </t>
    </r>
    <r>
      <rPr>
        <sz val="12"/>
        <color theme="1"/>
        <rFont val="Times New Roman"/>
        <family val="1"/>
      </rPr>
      <t xml:space="preserve">GE Appliances 
</t>
    </r>
    <r>
      <rPr>
        <b/>
        <sz val="12"/>
        <color theme="1"/>
        <rFont val="Times New Roman"/>
        <family val="1"/>
      </rPr>
      <t>Basis of Design:</t>
    </r>
    <r>
      <rPr>
        <sz val="12"/>
        <color theme="1"/>
        <rFont val="Times New Roman"/>
        <family val="1"/>
      </rPr>
      <t xml:space="preserve"> Model No.: JXV5305DJWW
</t>
    </r>
    <r>
      <rPr>
        <b/>
        <sz val="12"/>
        <color theme="1"/>
        <rFont val="Times New Roman"/>
        <family val="1"/>
      </rPr>
      <t xml:space="preserve">Type: </t>
    </r>
    <r>
      <rPr>
        <sz val="12"/>
        <color theme="1"/>
        <rFont val="Times New Roman"/>
        <family val="1"/>
      </rPr>
      <t xml:space="preserve">Under Cabinet-Mounted, Exhaust-Hood System
</t>
    </r>
    <r>
      <rPr>
        <b/>
        <sz val="12"/>
        <color theme="1"/>
        <rFont val="Times New Roman"/>
        <family val="1"/>
      </rPr>
      <t>Size:</t>
    </r>
    <r>
      <rPr>
        <sz val="12"/>
        <color theme="1"/>
        <rFont val="Times New Roman"/>
        <family val="1"/>
      </rPr>
      <t xml:space="preserve"> 29 7/8" x 20" x 5 1/2" 
</t>
    </r>
    <r>
      <rPr>
        <b/>
        <sz val="12"/>
        <color theme="1"/>
        <rFont val="Times New Roman"/>
        <family val="1"/>
      </rPr>
      <t>Exhaust Fan:</t>
    </r>
    <r>
      <rPr>
        <sz val="12"/>
        <color theme="1"/>
        <rFont val="Times New Roman"/>
        <family val="1"/>
      </rPr>
      <t xml:space="preserve"> Two-speed fan built into hood and with manufacturer's standard capacity. 
</t>
    </r>
    <r>
      <rPr>
        <b/>
        <sz val="12"/>
        <color theme="1"/>
        <rFont val="Times New Roman"/>
        <family val="1"/>
      </rPr>
      <t>Controls:</t>
    </r>
    <r>
      <rPr>
        <sz val="12"/>
        <color theme="1"/>
        <rFont val="Times New Roman"/>
        <family val="1"/>
      </rPr>
      <t xml:space="preserve"> Front mounted. 
</t>
    </r>
    <r>
      <rPr>
        <b/>
        <sz val="12"/>
        <color theme="1"/>
        <rFont val="Times New Roman"/>
        <family val="1"/>
      </rPr>
      <t xml:space="preserve">Lighting: </t>
    </r>
    <r>
      <rPr>
        <sz val="12"/>
        <color theme="1"/>
        <rFont val="Times New Roman"/>
        <family val="1"/>
      </rPr>
      <t xml:space="preserve">LED. 
</t>
    </r>
    <r>
      <rPr>
        <b/>
        <sz val="12"/>
        <color theme="1"/>
        <rFont val="Times New Roman"/>
        <family val="1"/>
      </rPr>
      <t xml:space="preserve">Optional Accessories: </t>
    </r>
    <r>
      <rPr>
        <sz val="12"/>
        <color theme="1"/>
        <rFont val="Times New Roman"/>
        <family val="1"/>
      </rPr>
      <t xml:space="preserve">Charcoal filter 
</t>
    </r>
    <r>
      <rPr>
        <b/>
        <sz val="12"/>
        <color theme="1"/>
        <rFont val="Times New Roman"/>
        <family val="1"/>
      </rPr>
      <t>Finish:</t>
    </r>
    <r>
      <rPr>
        <sz val="12"/>
        <color theme="1"/>
        <rFont val="Times New Roman"/>
        <family val="1"/>
      </rPr>
      <t xml:space="preserve"> Baked Enamel. 
</t>
    </r>
    <r>
      <rPr>
        <b/>
        <sz val="12"/>
        <color theme="1"/>
        <rFont val="Times New Roman"/>
        <family val="1"/>
      </rPr>
      <t>Color:</t>
    </r>
    <r>
      <rPr>
        <sz val="12"/>
        <color theme="1"/>
        <rFont val="Times New Roman"/>
        <family val="1"/>
      </rPr>
      <t xml:space="preserve"> White. </t>
    </r>
  </si>
  <si>
    <t>Plan Notes, Specs. Manual/113013-3</t>
  </si>
  <si>
    <r>
      <rPr>
        <b/>
        <sz val="12"/>
        <color theme="1"/>
        <rFont val="Times New Roman"/>
        <family val="1"/>
      </rPr>
      <t>Basis Of Design:</t>
    </r>
    <r>
      <rPr>
        <sz val="12"/>
        <color theme="1"/>
        <rFont val="Times New Roman"/>
        <family val="1"/>
      </rPr>
      <t xml:space="preserve"> TMI Systems - Corporation, Inc., Dickinson, North Dakota.</t>
    </r>
  </si>
  <si>
    <t>123216-4/ Specs.</t>
  </si>
  <si>
    <r>
      <t xml:space="preserve">Ceramic Backsplash Tile
</t>
    </r>
    <r>
      <rPr>
        <b/>
        <sz val="12"/>
        <color theme="1"/>
        <rFont val="Times New Roman"/>
        <family val="1"/>
      </rPr>
      <t>Basis Of Design:</t>
    </r>
    <r>
      <rPr>
        <sz val="12"/>
        <color theme="1"/>
        <rFont val="Times New Roman"/>
        <family val="1"/>
      </rPr>
      <t xml:space="preserve"> American Olean; Color Story 
</t>
    </r>
    <r>
      <rPr>
        <b/>
        <sz val="12"/>
        <color theme="1"/>
        <rFont val="Times New Roman"/>
        <family val="1"/>
      </rPr>
      <t>Module Size:</t>
    </r>
    <r>
      <rPr>
        <sz val="12"/>
        <color theme="1"/>
        <rFont val="Times New Roman"/>
        <family val="1"/>
      </rPr>
      <t xml:space="preserve"> 3 by 6 inches
</t>
    </r>
    <r>
      <rPr>
        <b/>
        <sz val="12"/>
        <color theme="1"/>
        <rFont val="Times New Roman"/>
        <family val="1"/>
      </rPr>
      <t>Face Size Variation:</t>
    </r>
    <r>
      <rPr>
        <sz val="12"/>
        <color theme="1"/>
        <rFont val="Times New Roman"/>
        <family val="1"/>
      </rPr>
      <t xml:space="preserve"> Rectified. 
</t>
    </r>
    <r>
      <rPr>
        <b/>
        <sz val="12"/>
        <color theme="1"/>
        <rFont val="Times New Roman"/>
        <family val="1"/>
      </rPr>
      <t xml:space="preserve">Thickness: </t>
    </r>
    <r>
      <rPr>
        <sz val="12"/>
        <color theme="1"/>
        <rFont val="Times New Roman"/>
        <family val="1"/>
      </rPr>
      <t xml:space="preserve">5/16 inch (8 mm). 
</t>
    </r>
    <r>
      <rPr>
        <b/>
        <sz val="12"/>
        <color theme="1"/>
        <rFont val="Times New Roman"/>
        <family val="1"/>
      </rPr>
      <t xml:space="preserve">Tile Color and Pattern: </t>
    </r>
    <r>
      <rPr>
        <sz val="12"/>
        <color theme="1"/>
        <rFont val="Times New Roman"/>
        <family val="1"/>
      </rPr>
      <t xml:space="preserve">As Selected By Architect 
</t>
    </r>
    <r>
      <rPr>
        <b/>
        <sz val="12"/>
        <color theme="1"/>
        <rFont val="Times New Roman"/>
        <family val="1"/>
      </rPr>
      <t>Grout Color:</t>
    </r>
    <r>
      <rPr>
        <sz val="12"/>
        <color theme="1"/>
        <rFont val="Times New Roman"/>
        <family val="1"/>
      </rPr>
      <t xml:space="preserve"> As Selected By Architect From Manuf. Full Range. 
</t>
    </r>
    <r>
      <rPr>
        <b/>
        <sz val="12"/>
        <color theme="1"/>
        <rFont val="Times New Roman"/>
        <family val="1"/>
      </rPr>
      <t xml:space="preserve">Pattern: </t>
    </r>
    <r>
      <rPr>
        <sz val="12"/>
        <color theme="1"/>
        <rFont val="Times New Roman"/>
        <family val="1"/>
      </rPr>
      <t xml:space="preserve">Running Bond 
</t>
    </r>
    <r>
      <rPr>
        <b/>
        <sz val="12"/>
        <color theme="1"/>
        <rFont val="Times New Roman"/>
        <family val="1"/>
      </rPr>
      <t xml:space="preserve">Modified Dry-Set Mortar (Thinset) Mfg.: </t>
    </r>
    <r>
      <rPr>
        <sz val="12"/>
        <color theme="1"/>
        <rFont val="Times New Roman"/>
        <family val="1"/>
      </rPr>
      <t xml:space="preserve">ARDEX Americans 
</t>
    </r>
    <r>
      <rPr>
        <b/>
        <sz val="12"/>
        <color theme="1"/>
        <rFont val="Times New Roman"/>
        <family val="1"/>
      </rPr>
      <t>High-Performance Tile Grout Mfg.:</t>
    </r>
    <r>
      <rPr>
        <sz val="12"/>
        <color theme="1"/>
        <rFont val="Times New Roman"/>
        <family val="1"/>
      </rPr>
      <t xml:space="preserve"> Mapei Corporation</t>
    </r>
  </si>
  <si>
    <t>093013-3/Specs.</t>
  </si>
  <si>
    <r>
      <t xml:space="preserve">Brick Veneer Wrap At Steel Column
</t>
    </r>
    <r>
      <rPr>
        <b/>
        <sz val="12"/>
        <color theme="1"/>
        <rFont val="Times New Roman"/>
        <family val="1"/>
      </rPr>
      <t xml:space="preserve">- </t>
    </r>
    <r>
      <rPr>
        <sz val="12"/>
        <color theme="1"/>
        <rFont val="Times New Roman"/>
        <family val="1"/>
      </rPr>
      <t xml:space="preserve">Match Existing Brick Size, Texture And Grout Spacing. 
</t>
    </r>
    <r>
      <rPr>
        <b/>
        <sz val="12"/>
        <color theme="1"/>
        <rFont val="Times New Roman"/>
        <family val="1"/>
      </rPr>
      <t xml:space="preserve">Mfg.: </t>
    </r>
    <r>
      <rPr>
        <sz val="12"/>
        <color theme="1"/>
        <rFont val="Times New Roman"/>
        <family val="1"/>
      </rPr>
      <t xml:space="preserve">Henry Brick Co. Or Approved Equal
</t>
    </r>
    <r>
      <rPr>
        <b/>
        <sz val="12"/>
        <color theme="1"/>
        <rFont val="Times New Roman"/>
        <family val="1"/>
      </rPr>
      <t xml:space="preserve">Size (Actual Dimensions): </t>
    </r>
    <r>
      <rPr>
        <sz val="12"/>
        <color theme="1"/>
        <rFont val="Times New Roman"/>
        <family val="1"/>
      </rPr>
      <t>3-5/8" x 2-1/4" x 7-5/8"</t>
    </r>
  </si>
  <si>
    <t>20" Wide Through Wall Flashing
- Advanced Building Products Inc.; Peel-N-Seal. (042000-6 Specs)</t>
  </si>
  <si>
    <r>
      <t xml:space="preserve">Clean Masonry Wall At Interior Side
</t>
    </r>
    <r>
      <rPr>
        <b/>
        <sz val="12"/>
        <color theme="1"/>
        <rFont val="Times New Roman"/>
        <family val="1"/>
      </rPr>
      <t xml:space="preserve">Proprietary Acidic Masonry Cleaner: </t>
    </r>
    <r>
      <rPr>
        <sz val="12"/>
        <color theme="1"/>
        <rFont val="Times New Roman"/>
        <family val="1"/>
      </rPr>
      <t xml:space="preserve">Diedrich Technologies, Inc. </t>
    </r>
  </si>
  <si>
    <t>Plan Notes, 042000-7/Specs</t>
  </si>
  <si>
    <r>
      <rPr>
        <b/>
        <sz val="12"/>
        <color rgb="FFFF0000"/>
        <rFont val="Times New Roman"/>
        <family val="1"/>
      </rPr>
      <t xml:space="preserve">Lumber Framing:
</t>
    </r>
    <r>
      <rPr>
        <sz val="12"/>
        <color rgb="FFFF0000"/>
        <rFont val="Times New Roman"/>
        <family val="1"/>
      </rPr>
      <t xml:space="preserve">Construction or No. 2 grade.
Southern Pine or Mixed Southern Pine; SPIB. </t>
    </r>
  </si>
  <si>
    <t>Specific Note: 2, 072100-1</t>
  </si>
  <si>
    <r>
      <t xml:space="preserve">R-25 Foil Faced Fiberglass Blanket Insulation @ Ceiling
</t>
    </r>
    <r>
      <rPr>
        <b/>
        <sz val="12"/>
        <color theme="1"/>
        <rFont val="Times New Roman"/>
        <family val="1"/>
      </rPr>
      <t>Mfg.:</t>
    </r>
    <r>
      <rPr>
        <sz val="12"/>
        <color theme="1"/>
        <rFont val="Times New Roman"/>
        <family val="1"/>
      </rPr>
      <t xml:space="preserve"> Owens Corning. OR Johns Manville. </t>
    </r>
  </si>
  <si>
    <r>
      <t xml:space="preserve">Sound Attenuation Batt Insulation @ Interior Wall
- Up to 4'-0" AFF
</t>
    </r>
    <r>
      <rPr>
        <b/>
        <sz val="12"/>
        <color theme="1"/>
        <rFont val="Times New Roman"/>
        <family val="1"/>
      </rPr>
      <t>Mfg.:</t>
    </r>
    <r>
      <rPr>
        <sz val="12"/>
        <color theme="1"/>
        <rFont val="Times New Roman"/>
        <family val="1"/>
      </rPr>
      <t xml:space="preserve"> Owens Corning. 
</t>
    </r>
    <r>
      <rPr>
        <b/>
        <sz val="12"/>
        <color theme="1"/>
        <rFont val="Times New Roman"/>
        <family val="1"/>
      </rPr>
      <t xml:space="preserve">Approved Equal: </t>
    </r>
    <r>
      <rPr>
        <sz val="12"/>
        <color theme="1"/>
        <rFont val="Times New Roman"/>
        <family val="1"/>
      </rPr>
      <t xml:space="preserve">Rockwool. OR Johns Manville. </t>
    </r>
  </si>
  <si>
    <r>
      <t xml:space="preserve">Sound Attenuation Batt Insulation @ Interior Wall
- Up to Ceiling: 10'-0" AFF (Assumed Height)
</t>
    </r>
    <r>
      <rPr>
        <b/>
        <sz val="12"/>
        <color theme="1"/>
        <rFont val="Times New Roman"/>
        <family val="1"/>
      </rPr>
      <t>Mfg.:</t>
    </r>
    <r>
      <rPr>
        <sz val="12"/>
        <color theme="1"/>
        <rFont val="Times New Roman"/>
        <family val="1"/>
      </rPr>
      <t xml:space="preserve"> Owens Corning. 
</t>
    </r>
    <r>
      <rPr>
        <b/>
        <sz val="12"/>
        <color theme="1"/>
        <rFont val="Times New Roman"/>
        <family val="1"/>
      </rPr>
      <t>Approved Equal:</t>
    </r>
    <r>
      <rPr>
        <sz val="12"/>
        <color theme="1"/>
        <rFont val="Times New Roman"/>
        <family val="1"/>
      </rPr>
      <t xml:space="preserve"> Rockwool. OR Johns Manville. </t>
    </r>
  </si>
  <si>
    <r>
      <t xml:space="preserve">Sound Attenuation Batt Insulation @ Interior Wall
- Up to Ceiling: 10'-0" AFF (Assumed Height)
</t>
    </r>
    <r>
      <rPr>
        <b/>
        <sz val="12"/>
        <color theme="1"/>
        <rFont val="Times New Roman"/>
        <family val="1"/>
      </rPr>
      <t xml:space="preserve">Mfg.: </t>
    </r>
    <r>
      <rPr>
        <sz val="12"/>
        <color theme="1"/>
        <rFont val="Times New Roman"/>
        <family val="1"/>
      </rPr>
      <t xml:space="preserve">Owens Corning. 
</t>
    </r>
    <r>
      <rPr>
        <b/>
        <sz val="12"/>
        <color theme="1"/>
        <rFont val="Times New Roman"/>
        <family val="1"/>
      </rPr>
      <t>Approved Equal:</t>
    </r>
    <r>
      <rPr>
        <sz val="12"/>
        <color theme="1"/>
        <rFont val="Times New Roman"/>
        <family val="1"/>
      </rPr>
      <t xml:space="preserve"> Rockwool. OR Johns Manville. 
</t>
    </r>
    <r>
      <rPr>
        <sz val="12"/>
        <color rgb="FFFF0000"/>
        <rFont val="Times New Roman"/>
        <family val="1"/>
      </rPr>
      <t>Note: As Per Key Note 072100.B21 On 4/A2.00, Spray Polyurethane Foam Insulation Shall Be Provided In Miscellaneous Voids. However, Sound Attenuation Batt Insulation Shall Be Provided As Per Note 21/A1.00. Please Verify In Field.</t>
    </r>
  </si>
  <si>
    <t>Pre-Finished Aluminum Gutter And Strap
- Galvanized Steel: 0.022 inch</t>
  </si>
  <si>
    <r>
      <rPr>
        <b/>
        <sz val="12"/>
        <color theme="1"/>
        <rFont val="Times New Roman"/>
        <family val="1"/>
      </rPr>
      <t xml:space="preserve">Manufacturers Basis of Design: </t>
    </r>
    <r>
      <rPr>
        <sz val="12"/>
        <color theme="1"/>
        <rFont val="Times New Roman"/>
        <family val="1"/>
      </rPr>
      <t xml:space="preserve">
1. Curries Company (CU) - Polystyrene Core - 707 Series. 
2. Curries Company (CU) - Energy Efficient - 777 Trio-E Series. </t>
    </r>
  </si>
  <si>
    <r>
      <rPr>
        <b/>
        <sz val="12"/>
        <color theme="1"/>
        <rFont val="Times New Roman"/>
        <family val="1"/>
      </rPr>
      <t xml:space="preserve">Tag: </t>
    </r>
    <r>
      <rPr>
        <sz val="12"/>
        <color theme="1"/>
        <rFont val="Times New Roman"/>
        <family val="1"/>
      </rPr>
      <t xml:space="preserve">1901
</t>
    </r>
    <r>
      <rPr>
        <b/>
        <sz val="12"/>
        <color theme="1"/>
        <rFont val="Times New Roman"/>
        <family val="1"/>
      </rPr>
      <t>Type:</t>
    </r>
    <r>
      <rPr>
        <sz val="12"/>
        <color theme="1"/>
        <rFont val="Times New Roman"/>
        <family val="1"/>
      </rPr>
      <t xml:space="preserve"> (FW) Six Panel Single Door
</t>
    </r>
    <r>
      <rPr>
        <b/>
        <sz val="12"/>
        <color theme="1"/>
        <rFont val="Times New Roman"/>
        <family val="1"/>
      </rPr>
      <t>Size:</t>
    </r>
    <r>
      <rPr>
        <sz val="12"/>
        <color theme="1"/>
        <rFont val="Times New Roman"/>
        <family val="1"/>
      </rPr>
      <t xml:space="preserve"> 3'-0" x 6'-8" x 1 3/4"
</t>
    </r>
    <r>
      <rPr>
        <b/>
        <sz val="12"/>
        <color theme="1"/>
        <rFont val="Times New Roman"/>
        <family val="1"/>
      </rPr>
      <t>Door Material:</t>
    </r>
    <r>
      <rPr>
        <sz val="12"/>
        <color theme="1"/>
        <rFont val="Times New Roman"/>
        <family val="1"/>
      </rPr>
      <t xml:space="preserve"> Hollow Metal
</t>
    </r>
    <r>
      <rPr>
        <b/>
        <sz val="12"/>
        <color theme="1"/>
        <rFont val="Times New Roman"/>
        <family val="1"/>
      </rPr>
      <t>Frame:</t>
    </r>
    <r>
      <rPr>
        <sz val="12"/>
        <color theme="1"/>
        <rFont val="Times New Roman"/>
        <family val="1"/>
      </rPr>
      <t xml:space="preserve"> Hollow Metal
</t>
    </r>
    <r>
      <rPr>
        <b/>
        <sz val="12"/>
        <color theme="1"/>
        <rFont val="Times New Roman"/>
        <family val="1"/>
      </rPr>
      <t>Hardware:</t>
    </r>
    <r>
      <rPr>
        <sz val="12"/>
        <color theme="1"/>
        <rFont val="Times New Roman"/>
        <family val="1"/>
      </rPr>
      <t xml:space="preserve">
(3). Hinges – BB1191 x 652 
(1) Lock Set – ALX70PD x SAT x Everest C123 x 626 
(2) ea. Kick Plate – 190S x 630 
(1) Wall Bumper – 236W x 630 
(1) Overhead Holder/Stops – 9 series x 630 
(1) Electric Strike – 712-75 x 630 
Reuse Existing Card Reader. 
</t>
    </r>
    <r>
      <rPr>
        <b/>
        <sz val="12"/>
        <color theme="1"/>
        <rFont val="Times New Roman"/>
        <family val="1"/>
      </rPr>
      <t>Notes</t>
    </r>
    <r>
      <rPr>
        <sz val="12"/>
        <color theme="1"/>
        <rFont val="Times New Roman"/>
        <family val="1"/>
      </rPr>
      <t xml:space="preserve">: 
a. Prep Door Frame For Electric Strike. 
b. Electric Strike, Transformer To Be Installed By An Installer Licensed To Install Elec-tronic Hardware. 
c. Electrical Sub-Contractor To Provide Power To Strike From Power Source Serving The Existing Strike. </t>
    </r>
  </si>
  <si>
    <r>
      <rPr>
        <b/>
        <sz val="12"/>
        <color theme="1"/>
        <rFont val="Times New Roman"/>
        <family val="1"/>
      </rPr>
      <t xml:space="preserve">Tag: </t>
    </r>
    <r>
      <rPr>
        <sz val="12"/>
        <color theme="1"/>
        <rFont val="Times New Roman"/>
        <family val="1"/>
      </rPr>
      <t xml:space="preserve">1107A, 1108A
</t>
    </r>
    <r>
      <rPr>
        <b/>
        <sz val="12"/>
        <color theme="1"/>
        <rFont val="Times New Roman"/>
        <family val="1"/>
      </rPr>
      <t>Type:</t>
    </r>
    <r>
      <rPr>
        <sz val="12"/>
        <color theme="1"/>
        <rFont val="Times New Roman"/>
        <family val="1"/>
      </rPr>
      <t xml:space="preserve"> (FW) Six Panel Single Door
</t>
    </r>
    <r>
      <rPr>
        <b/>
        <sz val="12"/>
        <color theme="1"/>
        <rFont val="Times New Roman"/>
        <family val="1"/>
      </rPr>
      <t>Size:</t>
    </r>
    <r>
      <rPr>
        <sz val="12"/>
        <color theme="1"/>
        <rFont val="Times New Roman"/>
        <family val="1"/>
      </rPr>
      <t xml:space="preserve"> 2'-4" x 6'-8" x 1 3/4"
</t>
    </r>
    <r>
      <rPr>
        <b/>
        <sz val="12"/>
        <color theme="1"/>
        <rFont val="Times New Roman"/>
        <family val="1"/>
      </rPr>
      <t>Door Material:</t>
    </r>
    <r>
      <rPr>
        <sz val="12"/>
        <color theme="1"/>
        <rFont val="Times New Roman"/>
        <family val="1"/>
      </rPr>
      <t xml:space="preserve"> Hollow Metal
</t>
    </r>
    <r>
      <rPr>
        <b/>
        <sz val="12"/>
        <color theme="1"/>
        <rFont val="Times New Roman"/>
        <family val="1"/>
      </rPr>
      <t>Frame:</t>
    </r>
    <r>
      <rPr>
        <sz val="12"/>
        <color theme="1"/>
        <rFont val="Times New Roman"/>
        <family val="1"/>
      </rPr>
      <t xml:space="preserve"> Hollow Metal
</t>
    </r>
    <r>
      <rPr>
        <b/>
        <sz val="12"/>
        <color theme="1"/>
        <rFont val="Times New Roman"/>
        <family val="1"/>
      </rPr>
      <t>Hardware:</t>
    </r>
    <r>
      <rPr>
        <sz val="12"/>
        <color theme="1"/>
        <rFont val="Times New Roman"/>
        <family val="1"/>
      </rPr>
      <t xml:space="preserve"> 
(3) Hinges – 1279 x 652 
(1) Lock Set – ALX50P x SAT x Everest C123 x 626 
(1) Wall Bumper – 236W x 630 
(1) Perimeter Fire/Sound Seal – 864S x MIL </t>
    </r>
  </si>
  <si>
    <r>
      <rPr>
        <b/>
        <sz val="12"/>
        <color theme="1"/>
        <rFont val="Times New Roman"/>
        <family val="1"/>
      </rPr>
      <t xml:space="preserve">Tag: </t>
    </r>
    <r>
      <rPr>
        <sz val="12"/>
        <color theme="1"/>
        <rFont val="Times New Roman"/>
        <family val="1"/>
      </rPr>
      <t xml:space="preserve">1320A, 1322A, 1323E
</t>
    </r>
    <r>
      <rPr>
        <b/>
        <sz val="12"/>
        <color theme="1"/>
        <rFont val="Times New Roman"/>
        <family val="1"/>
      </rPr>
      <t>Type:</t>
    </r>
    <r>
      <rPr>
        <sz val="12"/>
        <color theme="1"/>
        <rFont val="Times New Roman"/>
        <family val="1"/>
      </rPr>
      <t xml:space="preserve"> (FW) Six Panel Single Door
</t>
    </r>
    <r>
      <rPr>
        <b/>
        <sz val="12"/>
        <color theme="1"/>
        <rFont val="Times New Roman"/>
        <family val="1"/>
      </rPr>
      <t>Size:</t>
    </r>
    <r>
      <rPr>
        <sz val="12"/>
        <color theme="1"/>
        <rFont val="Times New Roman"/>
        <family val="1"/>
      </rPr>
      <t xml:space="preserve"> 3'-0" x 6'-8" x 1 3/4"
</t>
    </r>
    <r>
      <rPr>
        <b/>
        <sz val="12"/>
        <color theme="1"/>
        <rFont val="Times New Roman"/>
        <family val="1"/>
      </rPr>
      <t>Door Material:</t>
    </r>
    <r>
      <rPr>
        <sz val="12"/>
        <color theme="1"/>
        <rFont val="Times New Roman"/>
        <family val="1"/>
      </rPr>
      <t xml:space="preserve"> Hollow Metal
</t>
    </r>
    <r>
      <rPr>
        <b/>
        <sz val="12"/>
        <color theme="1"/>
        <rFont val="Times New Roman"/>
        <family val="1"/>
      </rPr>
      <t>Frame:</t>
    </r>
    <r>
      <rPr>
        <sz val="12"/>
        <color theme="1"/>
        <rFont val="Times New Roman"/>
        <family val="1"/>
      </rPr>
      <t xml:space="preserve"> Existing
</t>
    </r>
    <r>
      <rPr>
        <b/>
        <sz val="12"/>
        <color theme="1"/>
        <rFont val="Times New Roman"/>
        <family val="1"/>
      </rPr>
      <t>Hardware:</t>
    </r>
    <r>
      <rPr>
        <sz val="12"/>
        <color theme="1"/>
        <rFont val="Times New Roman"/>
        <family val="1"/>
      </rPr>
      <t xml:space="preserve"> 
(3) Hinges – 1279 x 652 
(1) Lock Set – ALX50P x SAT x Everest C123 x 626 
(1) Wall Bumper – 236W x 630 </t>
    </r>
  </si>
  <si>
    <t>Door Schedule/A2.00, 087100-6/Specs.</t>
  </si>
  <si>
    <r>
      <rPr>
        <b/>
        <sz val="12"/>
        <color theme="1"/>
        <rFont val="Times New Roman"/>
        <family val="1"/>
      </rPr>
      <t>Tag:</t>
    </r>
    <r>
      <rPr>
        <sz val="12"/>
        <color theme="1"/>
        <rFont val="Times New Roman"/>
        <family val="1"/>
      </rPr>
      <t xml:space="preserve"> CPT-1
</t>
    </r>
    <r>
      <rPr>
        <b/>
        <sz val="12"/>
        <color theme="1"/>
        <rFont val="Times New Roman"/>
        <family val="1"/>
      </rPr>
      <t>Description:</t>
    </r>
    <r>
      <rPr>
        <sz val="12"/>
        <color theme="1"/>
        <rFont val="Times New Roman"/>
        <family val="1"/>
      </rPr>
      <t xml:space="preserve"> Modular Carpet Tile Flooring
</t>
    </r>
    <r>
      <rPr>
        <b/>
        <sz val="12"/>
        <color theme="1"/>
        <rFont val="Times New Roman"/>
        <family val="1"/>
      </rPr>
      <t>Basis Of Design:</t>
    </r>
    <r>
      <rPr>
        <sz val="12"/>
        <color theme="1"/>
        <rFont val="Times New Roman"/>
        <family val="1"/>
      </rPr>
      <t xml:space="preserve"> Mannington; Enlivened 958 Ecru 
</t>
    </r>
    <r>
      <rPr>
        <b/>
        <sz val="12"/>
        <color theme="1"/>
        <rFont val="Times New Roman"/>
        <family val="1"/>
      </rPr>
      <t>Fiber Content:</t>
    </r>
    <r>
      <rPr>
        <sz val="12"/>
        <color theme="1"/>
        <rFont val="Times New Roman"/>
        <family val="1"/>
      </rPr>
      <t xml:space="preserve"> 100 percent nylon 6, 6. 
</t>
    </r>
    <r>
      <rPr>
        <b/>
        <sz val="12"/>
        <color theme="1"/>
        <rFont val="Times New Roman"/>
        <family val="1"/>
      </rPr>
      <t xml:space="preserve">Fiber Type: </t>
    </r>
    <r>
      <rPr>
        <sz val="12"/>
        <color theme="1"/>
        <rFont val="Times New Roman"/>
        <family val="1"/>
      </rPr>
      <t xml:space="preserve">Colorstrand SD Nylon. 
</t>
    </r>
    <r>
      <rPr>
        <b/>
        <sz val="12"/>
        <color theme="1"/>
        <rFont val="Times New Roman"/>
        <family val="1"/>
      </rPr>
      <t>Pile Characteristic:</t>
    </r>
    <r>
      <rPr>
        <sz val="12"/>
        <color theme="1"/>
        <rFont val="Times New Roman"/>
        <family val="1"/>
      </rPr>
      <t xml:space="preserve"> Level-loop pile. 
</t>
    </r>
    <r>
      <rPr>
        <b/>
        <sz val="12"/>
        <color theme="1"/>
        <rFont val="Times New Roman"/>
        <family val="1"/>
      </rPr>
      <t>Density:</t>
    </r>
    <r>
      <rPr>
        <sz val="12"/>
        <color theme="1"/>
        <rFont val="Times New Roman"/>
        <family val="1"/>
      </rPr>
      <t xml:space="preserve"> 6580 oz./cu. yd. (g/cu. cm). 
</t>
    </r>
    <r>
      <rPr>
        <b/>
        <sz val="12"/>
        <color theme="1"/>
        <rFont val="Times New Roman"/>
        <family val="1"/>
      </rPr>
      <t>Pile Thickness:</t>
    </r>
    <r>
      <rPr>
        <sz val="12"/>
        <color theme="1"/>
        <rFont val="Times New Roman"/>
        <family val="1"/>
      </rPr>
      <t xml:space="preserve"> .093 inches (2.36 mm)
</t>
    </r>
    <r>
      <rPr>
        <b/>
        <sz val="12"/>
        <color theme="1"/>
        <rFont val="Times New Roman"/>
        <family val="1"/>
      </rPr>
      <t>Stitches:</t>
    </r>
    <r>
      <rPr>
        <sz val="12"/>
        <color theme="1"/>
        <rFont val="Times New Roman"/>
        <family val="1"/>
      </rPr>
      <t xml:space="preserve"> 12 per inch (47.24 per 10 cm). 
</t>
    </r>
    <r>
      <rPr>
        <b/>
        <sz val="12"/>
        <color theme="1"/>
        <rFont val="Times New Roman"/>
        <family val="1"/>
      </rPr>
      <t>Gage:</t>
    </r>
    <r>
      <rPr>
        <sz val="12"/>
        <color theme="1"/>
        <rFont val="Times New Roman"/>
        <family val="1"/>
      </rPr>
      <t xml:space="preserve"> 1/12 per inch (47.00 rows per cm). 
</t>
    </r>
    <r>
      <rPr>
        <b/>
        <sz val="12"/>
        <color theme="1"/>
        <rFont val="Times New Roman"/>
        <family val="1"/>
      </rPr>
      <t xml:space="preserve">Primary Backing/Backcoating: </t>
    </r>
    <r>
      <rPr>
        <sz val="12"/>
        <color theme="1"/>
        <rFont val="Times New Roman"/>
        <family val="1"/>
      </rPr>
      <t xml:space="preserve">EcoFlex Matrix. 
</t>
    </r>
    <r>
      <rPr>
        <b/>
        <sz val="12"/>
        <color theme="1"/>
        <rFont val="Times New Roman"/>
        <family val="1"/>
      </rPr>
      <t>Size:</t>
    </r>
    <r>
      <rPr>
        <sz val="12"/>
        <color theme="1"/>
        <rFont val="Times New Roman"/>
        <family val="1"/>
      </rPr>
      <t xml:space="preserve"> 24 by 24 inches</t>
    </r>
  </si>
  <si>
    <r>
      <rPr>
        <b/>
        <sz val="12"/>
        <color rgb="FFFF0000"/>
        <rFont val="Times New Roman"/>
        <family val="1"/>
      </rPr>
      <t xml:space="preserve">Alternate: </t>
    </r>
    <r>
      <rPr>
        <sz val="12"/>
        <color rgb="FFFF0000"/>
        <rFont val="Times New Roman"/>
        <family val="1"/>
      </rPr>
      <t>Repaint All Gypsum Board Surfaces In Corridors And Rooms Accessible To Public.</t>
    </r>
  </si>
  <si>
    <r>
      <t xml:space="preserve">Quarter Round Trim 
</t>
    </r>
    <r>
      <rPr>
        <sz val="12"/>
        <color rgb="FFFF0000"/>
        <rFont val="Times New Roman"/>
        <family val="1"/>
      </rPr>
      <t>- Owner Provided, Contractor To Install</t>
    </r>
  </si>
  <si>
    <t>11072024</t>
  </si>
  <si>
    <t>Relocate Card Reader</t>
  </si>
  <si>
    <t xml:space="preserve">Remove And Reinstall Door </t>
  </si>
  <si>
    <t xml:space="preserve">Remove GWB Wall In Its Entirety </t>
  </si>
  <si>
    <t>Remove R 25 Unfaced Batt Insulation At Ceiling</t>
  </si>
  <si>
    <r>
      <rPr>
        <b/>
        <sz val="12"/>
        <color rgb="FFFF0000"/>
        <rFont val="Times New Roman"/>
        <family val="1"/>
      </rPr>
      <t>Notes:</t>
    </r>
    <r>
      <rPr>
        <sz val="12"/>
        <color rgb="FFFF0000"/>
        <rFont val="Times New Roman"/>
        <family val="1"/>
      </rPr>
      <t xml:space="preserve"> 
1. Work May Proceed During Fridays and Weekends At Different Areas Of Building. Please Coordinate With Phasing Plan Notes
2. Some Areas Of Building Will Be Occupied During Work. Please Coordinate With Phasing Plan Notes</t>
    </r>
  </si>
  <si>
    <t xml:space="preserve">Remove 1/2" FRT Sheathing </t>
  </si>
  <si>
    <t>ALUMINUM CANOPY</t>
  </si>
  <si>
    <t>2x4 Wood Studs @ 16"O.C. (3'-0" High)
- At Proposed Cased Opening
- Assumed Size: 3'-0" High</t>
  </si>
  <si>
    <t>39" H x 45" W x 3/4" Thk. Plywood, DOC PS 1 Fire-Retardant Treated</t>
  </si>
  <si>
    <r>
      <rPr>
        <b/>
        <sz val="12"/>
        <color theme="1"/>
        <rFont val="Times New Roman"/>
        <family val="1"/>
      </rPr>
      <t>PT-1:</t>
    </r>
    <r>
      <rPr>
        <sz val="12"/>
        <color theme="1"/>
        <rFont val="Times New Roman"/>
        <family val="1"/>
      </rPr>
      <t xml:space="preserve"> Prepare, Prime And Paint Wall
</t>
    </r>
    <r>
      <rPr>
        <b/>
        <sz val="12"/>
        <color theme="1"/>
        <rFont val="Times New Roman"/>
        <family val="1"/>
      </rPr>
      <t>Mfg.:</t>
    </r>
    <r>
      <rPr>
        <sz val="12"/>
        <color theme="1"/>
        <rFont val="Times New Roman"/>
        <family val="1"/>
      </rPr>
      <t xml:space="preserve"> Benjamin Moore
</t>
    </r>
    <r>
      <rPr>
        <b/>
        <sz val="12"/>
        <color theme="1"/>
        <rFont val="Times New Roman"/>
        <family val="1"/>
      </rPr>
      <t>Color:</t>
    </r>
    <r>
      <rPr>
        <sz val="12"/>
        <color theme="1"/>
        <rFont val="Times New Roman"/>
        <family val="1"/>
      </rPr>
      <t xml:space="preserve"> HC-26 Monroe Bisque</t>
    </r>
  </si>
  <si>
    <r>
      <rPr>
        <b/>
        <sz val="12"/>
        <color theme="1"/>
        <rFont val="Times New Roman"/>
        <family val="1"/>
      </rPr>
      <t>PT-2:</t>
    </r>
    <r>
      <rPr>
        <sz val="12"/>
        <color theme="1"/>
        <rFont val="Times New Roman"/>
        <family val="1"/>
      </rPr>
      <t xml:space="preserve"> Prepare, Prime And Paint Wall
</t>
    </r>
    <r>
      <rPr>
        <b/>
        <sz val="12"/>
        <color theme="1"/>
        <rFont val="Times New Roman"/>
        <family val="1"/>
      </rPr>
      <t>Mfg.:</t>
    </r>
    <r>
      <rPr>
        <sz val="12"/>
        <color theme="1"/>
        <rFont val="Times New Roman"/>
        <family val="1"/>
      </rPr>
      <t xml:space="preserve"> Benjamin Moore
</t>
    </r>
    <r>
      <rPr>
        <b/>
        <sz val="12"/>
        <color theme="1"/>
        <rFont val="Times New Roman"/>
        <family val="1"/>
      </rPr>
      <t>Color:</t>
    </r>
    <r>
      <rPr>
        <sz val="12"/>
        <color theme="1"/>
        <rFont val="Times New Roman"/>
        <family val="1"/>
      </rPr>
      <t xml:space="preserve"> AF-470 Flora</t>
    </r>
  </si>
  <si>
    <r>
      <rPr>
        <b/>
        <sz val="12"/>
        <color theme="1"/>
        <rFont val="Times New Roman"/>
        <family val="1"/>
      </rPr>
      <t>PT-3:</t>
    </r>
    <r>
      <rPr>
        <sz val="12"/>
        <color theme="1"/>
        <rFont val="Times New Roman"/>
        <family val="1"/>
      </rPr>
      <t xml:space="preserve"> Prepare, Prime And Paint Wall
</t>
    </r>
    <r>
      <rPr>
        <b/>
        <sz val="12"/>
        <color theme="1"/>
        <rFont val="Times New Roman"/>
        <family val="1"/>
      </rPr>
      <t>Mfg.:</t>
    </r>
    <r>
      <rPr>
        <sz val="12"/>
        <color theme="1"/>
        <rFont val="Times New Roman"/>
        <family val="1"/>
      </rPr>
      <t xml:space="preserve"> Benjamin Moore
</t>
    </r>
    <r>
      <rPr>
        <b/>
        <sz val="12"/>
        <color theme="1"/>
        <rFont val="Times New Roman"/>
        <family val="1"/>
      </rPr>
      <t>Color:</t>
    </r>
    <r>
      <rPr>
        <sz val="12"/>
        <color theme="1"/>
        <rFont val="Times New Roman"/>
        <family val="1"/>
      </rPr>
      <t xml:space="preserve"> AF-465 Windchime</t>
    </r>
  </si>
  <si>
    <r>
      <rPr>
        <b/>
        <sz val="12"/>
        <color theme="1"/>
        <rFont val="Times New Roman"/>
        <family val="1"/>
      </rPr>
      <t>PT-4:</t>
    </r>
    <r>
      <rPr>
        <sz val="12"/>
        <color theme="1"/>
        <rFont val="Times New Roman"/>
        <family val="1"/>
      </rPr>
      <t xml:space="preserve"> Prepare, Prime And Paint Wall
</t>
    </r>
    <r>
      <rPr>
        <b/>
        <sz val="12"/>
        <color theme="1"/>
        <rFont val="Times New Roman"/>
        <family val="1"/>
      </rPr>
      <t>Mfg.:</t>
    </r>
    <r>
      <rPr>
        <sz val="12"/>
        <color theme="1"/>
        <rFont val="Times New Roman"/>
        <family val="1"/>
      </rPr>
      <t xml:space="preserve"> Benjamin Moore
</t>
    </r>
    <r>
      <rPr>
        <b/>
        <sz val="12"/>
        <color theme="1"/>
        <rFont val="Times New Roman"/>
        <family val="1"/>
      </rPr>
      <t>Color:</t>
    </r>
    <r>
      <rPr>
        <sz val="12"/>
        <color theme="1"/>
        <rFont val="Times New Roman"/>
        <family val="1"/>
      </rPr>
      <t xml:space="preserve"> AF-500 Atmospheric</t>
    </r>
  </si>
  <si>
    <r>
      <rPr>
        <b/>
        <sz val="12"/>
        <color theme="1"/>
        <rFont val="Times New Roman"/>
        <family val="1"/>
      </rPr>
      <t>PT-6:</t>
    </r>
    <r>
      <rPr>
        <sz val="12"/>
        <color theme="1"/>
        <rFont val="Times New Roman"/>
        <family val="1"/>
      </rPr>
      <t xml:space="preserve"> Prepare, Prime And Paint Wall
</t>
    </r>
    <r>
      <rPr>
        <b/>
        <sz val="12"/>
        <color theme="1"/>
        <rFont val="Times New Roman"/>
        <family val="1"/>
      </rPr>
      <t>Mfg.:</t>
    </r>
    <r>
      <rPr>
        <sz val="12"/>
        <color theme="1"/>
        <rFont val="Times New Roman"/>
        <family val="1"/>
      </rPr>
      <t xml:space="preserve"> Benjamin Moore
</t>
    </r>
    <r>
      <rPr>
        <b/>
        <sz val="12"/>
        <color theme="1"/>
        <rFont val="Times New Roman"/>
        <family val="1"/>
      </rPr>
      <t>Color:</t>
    </r>
    <r>
      <rPr>
        <sz val="12"/>
        <color theme="1"/>
        <rFont val="Times New Roman"/>
        <family val="1"/>
      </rPr>
      <t xml:space="preserve"> 6122 Camelback</t>
    </r>
  </si>
  <si>
    <r>
      <rPr>
        <b/>
        <sz val="12"/>
        <color theme="1"/>
        <rFont val="Times New Roman"/>
        <family val="1"/>
      </rPr>
      <t>PT-1:</t>
    </r>
    <r>
      <rPr>
        <sz val="12"/>
        <color theme="1"/>
        <rFont val="Times New Roman"/>
        <family val="1"/>
      </rPr>
      <t xml:space="preserve"> Prepare, Prime And Paint Wall
</t>
    </r>
    <r>
      <rPr>
        <b/>
        <sz val="12"/>
        <color theme="1"/>
        <rFont val="Times New Roman"/>
        <family val="1"/>
      </rPr>
      <t>Mfg.:</t>
    </r>
    <r>
      <rPr>
        <sz val="12"/>
        <color theme="1"/>
        <rFont val="Times New Roman"/>
        <family val="1"/>
      </rPr>
      <t xml:space="preserve"> Benjamin Moore
</t>
    </r>
    <r>
      <rPr>
        <b/>
        <sz val="12"/>
        <color theme="1"/>
        <rFont val="Times New Roman"/>
        <family val="1"/>
      </rPr>
      <t>Color:</t>
    </r>
    <r>
      <rPr>
        <sz val="12"/>
        <color theme="1"/>
        <rFont val="Times New Roman"/>
        <family val="1"/>
      </rPr>
      <t xml:space="preserve"> HC-26 Monroe Bisque
</t>
    </r>
    <r>
      <rPr>
        <b/>
        <sz val="12"/>
        <color theme="1"/>
        <rFont val="Times New Roman"/>
        <family val="1"/>
      </rPr>
      <t xml:space="preserve">Top Coat: </t>
    </r>
    <r>
      <rPr>
        <sz val="12"/>
        <color theme="1"/>
        <rFont val="Times New Roman"/>
        <family val="1"/>
      </rPr>
      <t xml:space="preserve">Sherwin Williams A87W01151, SuperPaint Interior Latex Satin 
</t>
    </r>
    <r>
      <rPr>
        <b/>
        <sz val="12"/>
        <color theme="1"/>
        <rFont val="Times New Roman"/>
        <family val="1"/>
      </rPr>
      <t>Intermediate Coat:</t>
    </r>
    <r>
      <rPr>
        <sz val="12"/>
        <color theme="1"/>
        <rFont val="Times New Roman"/>
        <family val="1"/>
      </rPr>
      <t xml:space="preserve"> Intermediate Coat: Latex, Interior, Matching Topcoat. </t>
    </r>
  </si>
  <si>
    <r>
      <rPr>
        <b/>
        <sz val="12"/>
        <color theme="1"/>
        <rFont val="Times New Roman"/>
        <family val="1"/>
      </rPr>
      <t>PT-5:</t>
    </r>
    <r>
      <rPr>
        <sz val="12"/>
        <color theme="1"/>
        <rFont val="Times New Roman"/>
        <family val="1"/>
      </rPr>
      <t xml:space="preserve"> Prepare, Prime And Paint Door
</t>
    </r>
    <r>
      <rPr>
        <b/>
        <sz val="12"/>
        <color theme="1"/>
        <rFont val="Times New Roman"/>
        <family val="1"/>
      </rPr>
      <t>Mfg.:</t>
    </r>
    <r>
      <rPr>
        <sz val="12"/>
        <color theme="1"/>
        <rFont val="Times New Roman"/>
        <family val="1"/>
      </rPr>
      <t xml:space="preserve"> Benjamin Moore
</t>
    </r>
    <r>
      <rPr>
        <b/>
        <sz val="12"/>
        <color theme="1"/>
        <rFont val="Times New Roman"/>
        <family val="1"/>
      </rPr>
      <t>Color:</t>
    </r>
    <r>
      <rPr>
        <sz val="12"/>
        <color theme="1"/>
        <rFont val="Times New Roman"/>
        <family val="1"/>
      </rPr>
      <t xml:space="preserve"> AF-155 Weimaraner</t>
    </r>
  </si>
  <si>
    <r>
      <rPr>
        <b/>
        <sz val="12"/>
        <color theme="1"/>
        <rFont val="Times New Roman"/>
        <family val="1"/>
      </rPr>
      <t>PT-5:</t>
    </r>
    <r>
      <rPr>
        <sz val="12"/>
        <color theme="1"/>
        <rFont val="Times New Roman"/>
        <family val="1"/>
      </rPr>
      <t xml:space="preserve"> Prepare, Prime And Paint Door Frame
</t>
    </r>
    <r>
      <rPr>
        <b/>
        <sz val="12"/>
        <color theme="1"/>
        <rFont val="Times New Roman"/>
        <family val="1"/>
      </rPr>
      <t>Mfg.:</t>
    </r>
    <r>
      <rPr>
        <sz val="12"/>
        <color theme="1"/>
        <rFont val="Times New Roman"/>
        <family val="1"/>
      </rPr>
      <t xml:space="preserve"> Benjamin Moore
</t>
    </r>
    <r>
      <rPr>
        <b/>
        <sz val="12"/>
        <color theme="1"/>
        <rFont val="Times New Roman"/>
        <family val="1"/>
      </rPr>
      <t>Color:</t>
    </r>
    <r>
      <rPr>
        <sz val="12"/>
        <color theme="1"/>
        <rFont val="Times New Roman"/>
        <family val="1"/>
      </rPr>
      <t xml:space="preserve"> AF-155 Weimaraner</t>
    </r>
  </si>
  <si>
    <r>
      <rPr>
        <b/>
        <sz val="12"/>
        <color theme="1"/>
        <rFont val="Times New Roman"/>
        <family val="1"/>
      </rPr>
      <t>PT-5:</t>
    </r>
    <r>
      <rPr>
        <sz val="12"/>
        <color theme="1"/>
        <rFont val="Times New Roman"/>
        <family val="1"/>
      </rPr>
      <t xml:space="preserve"> Prepare, Prime And Paint Door Trim
</t>
    </r>
    <r>
      <rPr>
        <b/>
        <sz val="12"/>
        <color theme="1"/>
        <rFont val="Times New Roman"/>
        <family val="1"/>
      </rPr>
      <t>Mfg.:</t>
    </r>
    <r>
      <rPr>
        <sz val="12"/>
        <color theme="1"/>
        <rFont val="Times New Roman"/>
        <family val="1"/>
      </rPr>
      <t xml:space="preserve"> Benjamin Moore
</t>
    </r>
    <r>
      <rPr>
        <b/>
        <sz val="12"/>
        <color theme="1"/>
        <rFont val="Times New Roman"/>
        <family val="1"/>
      </rPr>
      <t>Color:</t>
    </r>
    <r>
      <rPr>
        <sz val="12"/>
        <color theme="1"/>
        <rFont val="Times New Roman"/>
        <family val="1"/>
      </rPr>
      <t xml:space="preserve"> AF-155 Weimaraner</t>
    </r>
  </si>
  <si>
    <r>
      <t xml:space="preserve">Prepare, Prime And Paint Wall
</t>
    </r>
    <r>
      <rPr>
        <b/>
        <sz val="12"/>
        <color theme="1"/>
        <rFont val="Times New Roman"/>
        <family val="1"/>
      </rPr>
      <t>Mfg.:</t>
    </r>
    <r>
      <rPr>
        <sz val="12"/>
        <color theme="1"/>
        <rFont val="Times New Roman"/>
        <family val="1"/>
      </rPr>
      <t xml:space="preserve"> Benjamin Moore
</t>
    </r>
    <r>
      <rPr>
        <b/>
        <sz val="12"/>
        <color theme="1"/>
        <rFont val="Times New Roman"/>
        <family val="1"/>
      </rPr>
      <t>Substrate:</t>
    </r>
    <r>
      <rPr>
        <sz val="12"/>
        <color theme="1"/>
        <rFont val="Times New Roman"/>
        <family val="1"/>
      </rPr>
      <t xml:space="preserve"> Sherwin Williams LX11W0051 Loxon XP Waterproofing Masonry Coating
</t>
    </r>
    <r>
      <rPr>
        <b/>
        <sz val="12"/>
        <color theme="1"/>
        <rFont val="Times New Roman"/>
        <family val="1"/>
      </rPr>
      <t>Topcoat:</t>
    </r>
    <r>
      <rPr>
        <sz val="12"/>
        <color theme="1"/>
        <rFont val="Times New Roman"/>
        <family val="1"/>
      </rPr>
      <t xml:space="preserve"> Latex, exterior, high build, MPI #40. 
</t>
    </r>
    <r>
      <rPr>
        <b/>
        <sz val="12"/>
        <color theme="1"/>
        <rFont val="Times New Roman"/>
        <family val="1"/>
      </rPr>
      <t>Color:</t>
    </r>
    <r>
      <rPr>
        <sz val="12"/>
        <color theme="1"/>
        <rFont val="Times New Roman"/>
        <family val="1"/>
      </rPr>
      <t xml:space="preserve"> Cromwell Gray-HC-103</t>
    </r>
  </si>
  <si>
    <t>CONCRETE AND MASONRY COATINGS:</t>
  </si>
  <si>
    <t>Remove and Replace Door Signage
- To Match Existing</t>
  </si>
  <si>
    <t xml:space="preserve">High-Pressure Decorative Laminate Countertop
- Laminate Bonded To 3/4" Thk. Solid Core Plywood With A Built-Up Edge 1-1/4" Of Overall Thickness. </t>
  </si>
  <si>
    <t>Demolish Covered Walkway Entirely Down To Pavement Incl. Steel Deck and Framing</t>
  </si>
  <si>
    <t>Remove Metal Deck incl. Steel Framing At Entry
- Provide Bracing As Required</t>
  </si>
  <si>
    <t>Patch and Repair Concrete Pavement
- For Installation Of New Concrete Footing For New Columns</t>
  </si>
  <si>
    <t>Remove Acoustical Ceiling Tile 
- Multiple Locations</t>
  </si>
  <si>
    <t>Remove Acoustical Panel Ceiling Tiles 
- Multiple Locations</t>
  </si>
  <si>
    <t>Demolish Ceiling Grid</t>
  </si>
  <si>
    <t>PATCH AND REPAIR</t>
  </si>
  <si>
    <t>REMOVABLE BOLLARD</t>
  </si>
  <si>
    <t>COUNTERTOPS</t>
  </si>
  <si>
    <t>Allowance To Repair Leaking Sprinkler Line As Req'd 
- Please Verify Extent
Note: To be Verified on Site</t>
  </si>
  <si>
    <t xml:space="preserve">Temporary Partition As:
- 2 x 4 Wood Studs @ 16" O.C.
- 1/2" Plywood On One Side
- Building Wrap 
Height has been Assumed to be 10'-0" As It Has Not Been Mentioned on Plans </t>
  </si>
  <si>
    <r>
      <t xml:space="preserve">Allowance To Remove and Replace Acoustical Ceiling Tiles Where Loose/Damaged And Missing </t>
    </r>
    <r>
      <rPr>
        <b/>
        <sz val="12"/>
        <color theme="1"/>
        <rFont val="Times New Roman"/>
        <family val="1"/>
      </rPr>
      <t xml:space="preserve">(744 SF)
-To Be Verified On Site </t>
    </r>
  </si>
  <si>
    <t>M1.0 &amp; E1.0</t>
  </si>
  <si>
    <t>All Existing Non Active Electrical Equipment's To Be Removed With Associate Wiring And Conduit Back To Source In This Area</t>
  </si>
  <si>
    <t>RELOCATION</t>
  </si>
  <si>
    <t>Existing Supply Air Diffuser To Be Relocated</t>
  </si>
  <si>
    <t>Existing Return Air Diffuser To Be Relocated</t>
  </si>
  <si>
    <t>MEP DEMOLITION</t>
  </si>
  <si>
    <t>FIRE SUPPRESSION</t>
  </si>
  <si>
    <t>ALLOWANCE</t>
  </si>
  <si>
    <t>P2.0</t>
  </si>
  <si>
    <t>Allowance For New Sprinkler Head In This Area (47 SF), Install Per NFPA-13 Requirements</t>
  </si>
  <si>
    <t>PLUMBING</t>
  </si>
  <si>
    <t>COLD WATER PIPE (ABOVE GRADE)</t>
  </si>
  <si>
    <t>Assumed</t>
  </si>
  <si>
    <t>Type "L" Copper Pipe</t>
  </si>
  <si>
    <t>3/4" Dia Cold Water Pipe</t>
  </si>
  <si>
    <t>1" Thick Mineral-Fiber Pipe Insulation</t>
  </si>
  <si>
    <t>COLD WATER PIPE FITTINGS</t>
  </si>
  <si>
    <t>ELBOW</t>
  </si>
  <si>
    <t>3/4" Dia Cold Water Pipe 90 Deg Elbow</t>
  </si>
  <si>
    <t>HOT WATER PIPE (ABOVE GRADE)</t>
  </si>
  <si>
    <t>3/4" Dia Hot Water Pipe</t>
  </si>
  <si>
    <t>HOT WATER PIPE FITTINGS</t>
  </si>
  <si>
    <t>3/4" Dia Hot Water Pipe 90 Deg Elbow</t>
  </si>
  <si>
    <t>WASTE PIPE (BELOW GRADE)</t>
  </si>
  <si>
    <t>Schedule 40 PVC Pipe</t>
  </si>
  <si>
    <t>2" Dia Waste Pipe</t>
  </si>
  <si>
    <t>WASTE PIPE FITTINGS</t>
  </si>
  <si>
    <t>2" Dia Waste Pipe 90 Deg Elbow</t>
  </si>
  <si>
    <t>2" Dia Waste Pipe 45 Deg Elbow</t>
  </si>
  <si>
    <t>WYE</t>
  </si>
  <si>
    <t>2" Dia Waste Pipe Wye</t>
  </si>
  <si>
    <t>VENT PIPE (ABOVE GRADE)</t>
  </si>
  <si>
    <t>2" Dia Vent Pipe</t>
  </si>
  <si>
    <t>VENT PIPE FITTINGS</t>
  </si>
  <si>
    <t>2" Dia Vent Pipe 90 Deg Elbow</t>
  </si>
  <si>
    <t>PLUMBING FIXTURES</t>
  </si>
  <si>
    <t>S-1: Sink, ELKAY LR331965, 6-1/2" Deep Double Compartment, Self Rimming, 18 GAUGE, TYPE 304 Stainless Steel Sink, W/ CHICAGO FAUCET MODEL #786-GN8AE29XKABCP 2.2 GPM Faucet With Wrist blade Handles, Grid Drain, Cast Brass P-Trap W/Cleanout, And 1/4 Turn Brass Stops W/ Rigid Supplies.</t>
  </si>
  <si>
    <t>MISCELLANEOUS</t>
  </si>
  <si>
    <t>PVC COUPLING</t>
  </si>
  <si>
    <t>2" Dia</t>
  </si>
  <si>
    <t>PIPE SUPPORT</t>
  </si>
  <si>
    <t>3/4" Dia Adjustable Clevis Hanger</t>
  </si>
  <si>
    <t>2" Dia Adjustable Clevis Hanger</t>
  </si>
  <si>
    <t>3/8" Dia Threaded Rod (1 Ea. = 1 FT)</t>
  </si>
  <si>
    <t>1/2" Dia Threaded Rod (1 Ea. = 1 FT)</t>
  </si>
  <si>
    <t>TRENCHING &amp; BACKFILLING</t>
  </si>
  <si>
    <t>Excavation &amp; Backfilling (3' Deep x 1' Wide Trench) Including All Labor and Material/Equipment</t>
  </si>
  <si>
    <t>CFT</t>
  </si>
  <si>
    <t>ELECTRICAL</t>
  </si>
  <si>
    <t>DISTRIBUTION</t>
  </si>
  <si>
    <t>E2.0</t>
  </si>
  <si>
    <t>CIRCUIT BREAKER</t>
  </si>
  <si>
    <t>1P/20A Breaker</t>
  </si>
  <si>
    <t>POWER</t>
  </si>
  <si>
    <t>CONDUIT</t>
  </si>
  <si>
    <t>1/2" EMT Conduit</t>
  </si>
  <si>
    <t>CONDUCTOR</t>
  </si>
  <si>
    <t>#12 CU THHN/THWN</t>
  </si>
  <si>
    <t>DEVICE</t>
  </si>
  <si>
    <t>Duplex Receptacle</t>
  </si>
  <si>
    <t>Duplex Receptacle, Above Counter</t>
  </si>
  <si>
    <t>Duplex Receptacle, Above Counter, GFI</t>
  </si>
  <si>
    <t>LIGHTING</t>
  </si>
  <si>
    <t xml:space="preserve">1/2" EMT Conduit </t>
  </si>
  <si>
    <t>LIGHTING FIXTURES</t>
  </si>
  <si>
    <t>FA: 2x4 LED Flat Panel, LSI SFP24-LED-50-35-DIM
Mounting: Ceiling Recessed
Watts: 50W</t>
  </si>
  <si>
    <t>FB: 2x2 LED Flat Panel, LSI SFP22-LED-30-35-DIM
Mounting: Ceiling Recessed
Watts: 30W</t>
  </si>
  <si>
    <t>FBX: 2x2 LED Flat Panel With Emergency Battery Pack,  LSI SFP22-LED-30-35-DIM
Mounting: Ceiling Recessed
Watts: 30W</t>
  </si>
  <si>
    <t>FCX: 4" Downlight With Emergency Backup Battery, INTENSE SD4DR-L2-35-D101-27-FL-EM7TIC430-HZ-SF-EM7T-I100 
Mounting: Ceiling Recessed
Watts: 14W</t>
  </si>
  <si>
    <t>LIGHTING CONTROL</t>
  </si>
  <si>
    <t>Occupancy Sensor Switch, LUTRON MS-B102</t>
  </si>
  <si>
    <t>Occupancy Sensor, Ceiling Mounted With Power Pack</t>
  </si>
  <si>
    <t>Single Pole Switch</t>
  </si>
  <si>
    <t>Junction Box</t>
  </si>
  <si>
    <t>COMMUNICATION</t>
  </si>
  <si>
    <t>TELECOMMUNICATION</t>
  </si>
  <si>
    <t>Length Assume</t>
  </si>
  <si>
    <t>3/4" EMT Conduit With Pull String Upto Ceiling</t>
  </si>
  <si>
    <t>DEVICES</t>
  </si>
  <si>
    <t>Tele Data Outlet</t>
  </si>
  <si>
    <t>RJ45 Connector</t>
  </si>
  <si>
    <t>4" x 2" Back Box With Trim Ring</t>
  </si>
  <si>
    <t>Blank Cover plate</t>
  </si>
  <si>
    <t>SECURITY</t>
  </si>
  <si>
    <t>Card Reader</t>
  </si>
  <si>
    <t>4" x 2" Back Box</t>
  </si>
  <si>
    <t xml:space="preserve">Project Name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</si>
</sst>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1" formatCode="_(* #,##0_);_(* \(#,##0\);_(* &quot;-&quot;_);_(@_)"/>
    <numFmt numFmtId="44" formatCode="_(&quot;$&quot;* #,##0.00_);_(&quot;$&quot;* \(#,##0.00\);_(&quot;$&quot;* &quot;-&quot;??_);_(@_)"/>
    <numFmt numFmtId="164" formatCode="&quot;$&quot;#,##0"/>
    <numFmt numFmtId="165" formatCode="_(&quot;$&quot;* #,##0_);_(&quot;$&quot;* \(#,##0\);_(&quot;$&quot;* &quot;-&quot;??_);_(@_)"/>
    <numFmt numFmtId="166" formatCode="[$$-409]#,##0"/>
    <numFmt numFmtId="167" formatCode="[$-409]d\-mmm\-yy;@"/>
    <numFmt numFmtId="168" formatCode="0.000"/>
    <numFmt numFmtId="169" formatCode="mm/dd/yy;@"/>
    <numFmt numFmtId="170" formatCode="_-[$$-409]* #,##0.00_ ;_-[$$-409]* \-#,##0.00\ ;_-[$$-409]* &quot;-&quot;??_ ;_-@_ "/>
  </numFmts>
  <fonts count="29" x14ac:knownFonts="1">
    <font>
      <sz val="11"/>
      <color theme="1"/>
      <name val="Tw Cen MT"/>
      <family val="2"/>
      <scheme val="minor"/>
    </font>
    <font>
      <b/>
      <sz val="12"/>
      <color theme="1"/>
      <name val="Tw Cen MT"/>
      <family val="2"/>
      <scheme val="minor"/>
    </font>
    <font>
      <sz val="14"/>
      <color theme="1"/>
      <name val="Tw Cen MT"/>
      <family val="2"/>
      <scheme val="minor"/>
    </font>
    <font>
      <sz val="11"/>
      <color theme="1"/>
      <name val="Tw Cen MT"/>
      <family val="2"/>
      <scheme val="minor"/>
    </font>
    <font>
      <sz val="12"/>
      <name val="Arial"/>
      <family val="2"/>
    </font>
    <font>
      <b/>
      <sz val="16"/>
      <color theme="0"/>
      <name val="Times New Roman"/>
      <family val="1"/>
    </font>
    <font>
      <b/>
      <sz val="14"/>
      <name val="Times New Roman"/>
      <family val="1"/>
    </font>
    <font>
      <b/>
      <sz val="14"/>
      <color theme="1"/>
      <name val="Times New Roman"/>
      <family val="1"/>
    </font>
    <font>
      <b/>
      <sz val="12"/>
      <color rgb="FF0000B3"/>
      <name val="Times New Roman"/>
      <family val="1"/>
    </font>
    <font>
      <b/>
      <sz val="12"/>
      <color theme="1"/>
      <name val="Times New Roman"/>
      <family val="1"/>
    </font>
    <font>
      <b/>
      <sz val="12"/>
      <name val="Times New Roman"/>
      <family val="1"/>
    </font>
    <font>
      <b/>
      <sz val="12"/>
      <color theme="0"/>
      <name val="Times New Roman"/>
      <family val="1"/>
    </font>
    <font>
      <sz val="12"/>
      <name val="Times New Roman"/>
      <family val="1"/>
    </font>
    <font>
      <sz val="12"/>
      <color theme="1"/>
      <name val="Times New Roman"/>
      <family val="1"/>
    </font>
    <font>
      <sz val="11"/>
      <color theme="1"/>
      <name val="Times New Roman"/>
      <family val="1"/>
    </font>
    <font>
      <sz val="12"/>
      <color theme="0"/>
      <name val="Times New Roman"/>
      <family val="1"/>
    </font>
    <font>
      <sz val="14"/>
      <name val="Times New Roman"/>
      <family val="1"/>
    </font>
    <font>
      <b/>
      <sz val="14"/>
      <color rgb="FF009A88"/>
      <name val="Times New Roman"/>
      <family val="1"/>
    </font>
    <font>
      <b/>
      <sz val="11"/>
      <name val="Times New Roman"/>
      <family val="1"/>
    </font>
    <font>
      <b/>
      <sz val="14"/>
      <color theme="0"/>
      <name val="Times New Roman"/>
      <family val="1"/>
    </font>
    <font>
      <b/>
      <sz val="12"/>
      <color rgb="FF0000CC"/>
      <name val="Times New Roman"/>
      <family val="1"/>
    </font>
    <font>
      <sz val="12"/>
      <color rgb="FFFF0000"/>
      <name val="Times New Roman"/>
      <family val="1"/>
    </font>
    <font>
      <b/>
      <sz val="12"/>
      <color rgb="FFFF0000"/>
      <name val="Times New Roman"/>
      <family val="1"/>
    </font>
    <font>
      <sz val="10"/>
      <name val="Times New Roman"/>
      <family val="1"/>
    </font>
    <font>
      <b/>
      <sz val="11"/>
      <color theme="1"/>
      <name val="Tw Cen MT"/>
      <family val="2"/>
      <scheme val="minor"/>
    </font>
    <font>
      <b/>
      <sz val="11"/>
      <color theme="1"/>
      <name val="Times New Roman"/>
      <family val="1"/>
    </font>
    <font>
      <sz val="8"/>
      <name val="Tw Cen MT"/>
      <family val="2"/>
      <scheme val="minor"/>
    </font>
    <font>
      <b/>
      <sz val="14"/>
      <color rgb="FFFF0000"/>
      <name val="Times New Roman"/>
      <family val="1"/>
    </font>
    <font>
      <b/>
      <sz val="14"/>
      <color rgb="FF0000B3"/>
      <name val="Times New Roman"/>
      <family val="1"/>
    </font>
  </fonts>
  <fills count="11">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FFC000"/>
        <bgColor indexed="64"/>
      </patternFill>
    </fill>
    <fill>
      <patternFill patternType="solid">
        <fgColor rgb="FFFFFFCC"/>
      </patternFill>
    </fill>
    <fill>
      <patternFill patternType="solid">
        <fgColor rgb="FF013554"/>
        <bgColor indexed="64"/>
      </patternFill>
    </fill>
    <fill>
      <patternFill patternType="solid">
        <fgColor rgb="FF00496A"/>
        <bgColor indexed="64"/>
      </patternFill>
    </fill>
    <fill>
      <patternFill patternType="solid">
        <fgColor rgb="FF4A4C4C"/>
        <bgColor indexed="64"/>
      </patternFill>
    </fill>
    <fill>
      <patternFill patternType="solid">
        <fgColor theme="0" tint="-0.249977111117893"/>
        <bgColor indexed="64"/>
      </patternFill>
    </fill>
    <fill>
      <patternFill patternType="solid">
        <fgColor rgb="FF00A6A5"/>
        <bgColor indexed="64"/>
      </patternFill>
    </fill>
  </fills>
  <borders count="53">
    <border>
      <left/>
      <right/>
      <top/>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medium">
        <color indexed="64"/>
      </left>
      <right/>
      <top style="medium">
        <color indexed="64"/>
      </top>
      <bottom/>
      <diagonal/>
    </border>
    <border>
      <left style="thin">
        <color indexed="64"/>
      </left>
      <right/>
      <top style="thin">
        <color indexed="64"/>
      </top>
      <bottom/>
      <diagonal/>
    </border>
    <border>
      <left/>
      <right/>
      <top style="thin">
        <color theme="0"/>
      </top>
      <bottom style="thin">
        <color indexed="64"/>
      </bottom>
      <diagonal/>
    </border>
    <border>
      <left/>
      <right style="thin">
        <color indexed="64"/>
      </right>
      <top style="thin">
        <color theme="0"/>
      </top>
      <bottom style="thin">
        <color indexed="64"/>
      </bottom>
      <diagonal/>
    </border>
    <border>
      <left style="thin">
        <color indexed="64"/>
      </left>
      <right style="thin">
        <color indexed="64"/>
      </right>
      <top style="thin">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top style="thin">
        <color theme="0"/>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double">
        <color indexed="64"/>
      </top>
      <bottom/>
      <diagonal/>
    </border>
    <border>
      <left/>
      <right/>
      <top style="medium">
        <color indexed="64"/>
      </top>
      <bottom style="medium">
        <color indexed="64"/>
      </bottom>
      <diagonal/>
    </border>
    <border>
      <left style="medium">
        <color indexed="64"/>
      </left>
      <right/>
      <top/>
      <bottom style="double">
        <color indexed="64"/>
      </bottom>
      <diagonal/>
    </border>
    <border>
      <left style="medium">
        <color indexed="64"/>
      </left>
      <right/>
      <top style="thin">
        <color indexed="64"/>
      </top>
      <bottom style="thin">
        <color indexed="64"/>
      </bottom>
      <diagonal/>
    </border>
    <border>
      <left style="thin">
        <color rgb="FFB2B2B2"/>
      </left>
      <right style="thin">
        <color rgb="FFB2B2B2"/>
      </right>
      <top style="thin">
        <color rgb="FFB2B2B2"/>
      </top>
      <bottom style="thin">
        <color rgb="FFB2B2B2"/>
      </bottom>
      <diagonal/>
    </border>
    <border>
      <left style="medium">
        <color indexed="64"/>
      </left>
      <right style="thin">
        <color indexed="64"/>
      </right>
      <top style="double">
        <color indexed="64"/>
      </top>
      <bottom/>
      <diagonal/>
    </border>
    <border>
      <left style="thin">
        <color indexed="64"/>
      </left>
      <right style="medium">
        <color indexed="64"/>
      </right>
      <top/>
      <bottom style="thin">
        <color indexed="64"/>
      </bottom>
      <diagonal/>
    </border>
    <border>
      <left/>
      <right style="thin">
        <color indexed="64"/>
      </right>
      <top style="double">
        <color indexed="64"/>
      </top>
      <bottom/>
      <diagonal/>
    </border>
    <border>
      <left/>
      <right style="thin">
        <color indexed="64"/>
      </right>
      <top style="thin">
        <color indexed="64"/>
      </top>
      <bottom style="thin">
        <color indexed="64"/>
      </bottom>
      <diagonal/>
    </border>
    <border>
      <left/>
      <right/>
      <top/>
      <bottom style="thin">
        <color indexed="64"/>
      </bottom>
      <diagonal/>
    </border>
    <border>
      <left style="medium">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style="medium">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style="medium">
        <color indexed="64"/>
      </right>
      <top style="double">
        <color indexed="64"/>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style="thin">
        <color theme="0"/>
      </top>
      <bottom/>
      <diagonal/>
    </border>
    <border>
      <left/>
      <right/>
      <top style="thin">
        <color theme="0"/>
      </top>
      <bottom/>
      <diagonal/>
    </border>
    <border>
      <left/>
      <right style="thin">
        <color indexed="64"/>
      </right>
      <top style="thin">
        <color theme="0"/>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right style="thin">
        <color indexed="64"/>
      </right>
      <top style="thin">
        <color indexed="64"/>
      </top>
      <bottom/>
      <diagonal/>
    </border>
  </borders>
  <cellStyleXfs count="9">
    <xf numFmtId="0" fontId="0" fillId="0" borderId="0"/>
    <xf numFmtId="1" fontId="1" fillId="3" borderId="1">
      <alignment horizontal="center" vertical="center"/>
    </xf>
    <xf numFmtId="44" fontId="3" fillId="0" borderId="0" applyFont="0" applyFill="0" applyBorder="0" applyAlignment="0" applyProtection="0"/>
    <xf numFmtId="44" fontId="3" fillId="0" borderId="0" applyFont="0" applyFill="0" applyBorder="0" applyAlignment="0" applyProtection="0"/>
    <xf numFmtId="0" fontId="4" fillId="0" borderId="0"/>
    <xf numFmtId="0" fontId="3" fillId="5" borderId="23" applyNumberFormat="0" applyFont="0" applyAlignment="0" applyProtection="0"/>
    <xf numFmtId="9" fontId="4" fillId="0" borderId="0" applyFont="0" applyFill="0" applyBorder="0" applyAlignment="0" applyProtection="0"/>
    <xf numFmtId="44" fontId="4" fillId="0" borderId="0" applyFont="0" applyFill="0" applyBorder="0" applyAlignment="0" applyProtection="0"/>
    <xf numFmtId="9" fontId="3" fillId="0" borderId="0" applyFont="0" applyFill="0" applyBorder="0" applyAlignment="0" applyProtection="0"/>
  </cellStyleXfs>
  <cellXfs count="344">
    <xf numFmtId="0" fontId="0" fillId="0" borderId="0" xfId="0"/>
    <xf numFmtId="0" fontId="0" fillId="0" borderId="0" xfId="0" applyAlignment="1">
      <alignment vertical="center"/>
    </xf>
    <xf numFmtId="0" fontId="2" fillId="2" borderId="3"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0" fillId="3" borderId="0" xfId="0" applyFill="1" applyAlignment="1">
      <alignment vertical="center"/>
    </xf>
    <xf numFmtId="0" fontId="0" fillId="3" borderId="0" xfId="0" applyFill="1" applyAlignment="1">
      <alignment horizontal="center" vertical="center"/>
    </xf>
    <xf numFmtId="0" fontId="0" fillId="3" borderId="0" xfId="0" applyFill="1" applyAlignment="1">
      <alignment vertical="center" wrapText="1"/>
    </xf>
    <xf numFmtId="44" fontId="0" fillId="3" borderId="0" xfId="0" applyNumberFormat="1" applyFill="1" applyAlignment="1">
      <alignment vertical="center"/>
    </xf>
    <xf numFmtId="0" fontId="0" fillId="6" borderId="0" xfId="0" applyFill="1" applyAlignment="1">
      <alignment vertical="center"/>
    </xf>
    <xf numFmtId="0" fontId="7" fillId="0" borderId="0" xfId="0" applyFont="1" applyAlignment="1">
      <alignment vertical="center" wrapText="1"/>
    </xf>
    <xf numFmtId="3" fontId="7" fillId="3" borderId="0" xfId="0" applyNumberFormat="1" applyFont="1" applyFill="1" applyAlignment="1">
      <alignment horizontal="left" vertical="center"/>
    </xf>
    <xf numFmtId="0" fontId="7" fillId="0" borderId="8" xfId="0" applyFont="1" applyBorder="1" applyAlignment="1">
      <alignment horizontal="left" vertical="center"/>
    </xf>
    <xf numFmtId="0" fontId="7" fillId="0" borderId="0" xfId="0" applyFont="1" applyAlignment="1">
      <alignment vertical="center"/>
    </xf>
    <xf numFmtId="0" fontId="16" fillId="3" borderId="0" xfId="0" applyFont="1" applyFill="1" applyAlignment="1">
      <alignment horizontal="center" vertical="center"/>
    </xf>
    <xf numFmtId="167" fontId="6" fillId="3" borderId="9" xfId="0" applyNumberFormat="1" applyFont="1" applyFill="1" applyBorder="1" applyAlignment="1">
      <alignment horizontal="center" vertical="center" wrapText="1"/>
    </xf>
    <xf numFmtId="0" fontId="16" fillId="3" borderId="0" xfId="0" applyFont="1" applyFill="1" applyAlignment="1">
      <alignment horizontal="left" vertical="center" wrapText="1"/>
    </xf>
    <xf numFmtId="0" fontId="14" fillId="0" borderId="0" xfId="0" applyFont="1" applyAlignment="1">
      <alignment horizontal="center" vertical="center"/>
    </xf>
    <xf numFmtId="0" fontId="6" fillId="3" borderId="8" xfId="0" applyFont="1" applyFill="1" applyBorder="1" applyAlignment="1">
      <alignment vertical="center"/>
    </xf>
    <xf numFmtId="3" fontId="17" fillId="3" borderId="0" xfId="0" applyNumberFormat="1" applyFont="1" applyFill="1" applyAlignment="1">
      <alignment horizontal="left" vertical="center" wrapText="1"/>
    </xf>
    <xf numFmtId="0" fontId="18" fillId="3" borderId="9" xfId="0" applyFont="1" applyFill="1" applyBorder="1" applyAlignment="1">
      <alignment horizontal="right" vertical="center" wrapText="1"/>
    </xf>
    <xf numFmtId="0" fontId="7" fillId="0" borderId="21" xfId="0" applyFont="1" applyBorder="1" applyAlignment="1">
      <alignment horizontal="left" vertical="center"/>
    </xf>
    <xf numFmtId="0" fontId="17" fillId="0" borderId="0" xfId="0" applyFont="1" applyAlignment="1">
      <alignment vertical="center" wrapText="1"/>
    </xf>
    <xf numFmtId="1" fontId="12" fillId="3" borderId="29" xfId="5" applyNumberFormat="1" applyFont="1" applyFill="1" applyBorder="1" applyAlignment="1">
      <alignment horizontal="center" vertical="center"/>
    </xf>
    <xf numFmtId="1" fontId="12" fillId="3" borderId="30" xfId="5" applyNumberFormat="1" applyFont="1" applyFill="1" applyBorder="1" applyAlignment="1">
      <alignment horizontal="center" vertical="center"/>
    </xf>
    <xf numFmtId="0" fontId="13" fillId="0" borderId="31" xfId="0" applyFont="1" applyBorder="1" applyAlignment="1">
      <alignment horizontal="left" vertical="center"/>
    </xf>
    <xf numFmtId="0" fontId="13" fillId="0" borderId="31" xfId="0" applyFont="1" applyBorder="1" applyAlignment="1">
      <alignment horizontal="center" vertical="center"/>
    </xf>
    <xf numFmtId="9" fontId="13" fillId="0" borderId="31" xfId="0" applyNumberFormat="1" applyFont="1" applyBorder="1" applyAlignment="1">
      <alignment horizontal="center" vertical="center"/>
    </xf>
    <xf numFmtId="1" fontId="13" fillId="0" borderId="31" xfId="0" applyNumberFormat="1" applyFont="1" applyBorder="1" applyAlignment="1">
      <alignment horizontal="center" vertical="center"/>
    </xf>
    <xf numFmtId="44" fontId="13" fillId="0" borderId="31" xfId="3" applyFont="1" applyBorder="1" applyAlignment="1">
      <alignment horizontal="center" vertical="center"/>
    </xf>
    <xf numFmtId="44" fontId="13" fillId="0" borderId="31" xfId="0" applyNumberFormat="1" applyFont="1" applyBorder="1" applyAlignment="1">
      <alignment horizontal="center" vertical="center" wrapText="1"/>
    </xf>
    <xf numFmtId="44" fontId="13" fillId="0" borderId="25" xfId="0" applyNumberFormat="1" applyFont="1" applyBorder="1" applyAlignment="1">
      <alignment horizontal="center" vertical="center" wrapText="1"/>
    </xf>
    <xf numFmtId="1" fontId="12" fillId="3" borderId="10" xfId="5" applyNumberFormat="1" applyFont="1" applyFill="1" applyBorder="1" applyAlignment="1">
      <alignment horizontal="center" vertical="center"/>
    </xf>
    <xf numFmtId="1" fontId="12" fillId="3" borderId="27" xfId="5" applyNumberFormat="1" applyFont="1" applyFill="1" applyBorder="1" applyAlignment="1">
      <alignment horizontal="center" vertical="center"/>
    </xf>
    <xf numFmtId="0" fontId="13" fillId="0" borderId="1" xfId="0" applyFont="1" applyBorder="1" applyAlignment="1">
      <alignment horizontal="center" vertical="center"/>
    </xf>
    <xf numFmtId="9" fontId="13" fillId="0" borderId="1" xfId="0" applyNumberFormat="1" applyFont="1" applyBorder="1" applyAlignment="1">
      <alignment horizontal="center" vertical="center"/>
    </xf>
    <xf numFmtId="1" fontId="13" fillId="0" borderId="1" xfId="0" applyNumberFormat="1" applyFont="1" applyBorder="1" applyAlignment="1">
      <alignment horizontal="center" vertical="center"/>
    </xf>
    <xf numFmtId="44" fontId="13" fillId="0" borderId="1" xfId="3" applyFont="1" applyBorder="1" applyAlignment="1">
      <alignment horizontal="center" vertical="center"/>
    </xf>
    <xf numFmtId="44" fontId="13" fillId="0" borderId="1" xfId="0" applyNumberFormat="1" applyFont="1" applyBorder="1" applyAlignment="1">
      <alignment horizontal="center" vertical="center" wrapText="1"/>
    </xf>
    <xf numFmtId="44" fontId="13" fillId="0" borderId="11" xfId="0" applyNumberFormat="1" applyFont="1" applyBorder="1" applyAlignment="1">
      <alignment horizontal="center" vertical="center" wrapText="1"/>
    </xf>
    <xf numFmtId="165" fontId="13" fillId="0" borderId="11" xfId="0" applyNumberFormat="1" applyFont="1" applyBorder="1" applyAlignment="1">
      <alignment horizontal="center" vertical="center" wrapText="1"/>
    </xf>
    <xf numFmtId="0" fontId="9" fillId="8" borderId="22" xfId="0" applyFont="1" applyFill="1" applyBorder="1" applyAlignment="1">
      <alignment vertical="center"/>
    </xf>
    <xf numFmtId="0" fontId="9" fillId="8" borderId="32" xfId="0" applyFont="1" applyFill="1" applyBorder="1" applyAlignment="1">
      <alignment vertical="center"/>
    </xf>
    <xf numFmtId="44" fontId="9" fillId="8" borderId="32" xfId="3" applyFont="1" applyFill="1" applyBorder="1" applyAlignment="1">
      <alignment horizontal="right" vertical="center"/>
    </xf>
    <xf numFmtId="44" fontId="11" fillId="8" borderId="32" xfId="0" applyNumberFormat="1" applyFont="1" applyFill="1" applyBorder="1" applyAlignment="1">
      <alignment horizontal="right" vertical="center" wrapText="1"/>
    </xf>
    <xf numFmtId="165" fontId="11" fillId="8" borderId="35" xfId="0" applyNumberFormat="1" applyFont="1" applyFill="1" applyBorder="1" applyAlignment="1">
      <alignment vertical="center" wrapText="1"/>
    </xf>
    <xf numFmtId="0" fontId="9" fillId="0" borderId="8" xfId="0" applyFont="1" applyBorder="1" applyAlignment="1">
      <alignment vertical="center"/>
    </xf>
    <xf numFmtId="44" fontId="9" fillId="0" borderId="0" xfId="3" applyFont="1" applyFill="1" applyBorder="1" applyAlignment="1">
      <alignment horizontal="right" vertical="center"/>
    </xf>
    <xf numFmtId="165" fontId="9" fillId="0" borderId="9" xfId="0" applyNumberFormat="1" applyFont="1" applyBorder="1" applyAlignment="1">
      <alignment vertical="center" wrapText="1"/>
    </xf>
    <xf numFmtId="0" fontId="15" fillId="6" borderId="22" xfId="0" applyFont="1" applyFill="1" applyBorder="1" applyAlignment="1">
      <alignment vertical="center"/>
    </xf>
    <xf numFmtId="0" fontId="15" fillId="6" borderId="32" xfId="0" applyFont="1" applyFill="1" applyBorder="1" applyAlignment="1">
      <alignment vertical="center"/>
    </xf>
    <xf numFmtId="0" fontId="11" fillId="6" borderId="34" xfId="0" applyFont="1" applyFill="1" applyBorder="1" applyAlignment="1">
      <alignment horizontal="center" vertical="center"/>
    </xf>
    <xf numFmtId="0" fontId="19" fillId="6" borderId="34" xfId="0" applyFont="1" applyFill="1" applyBorder="1" applyAlignment="1">
      <alignment vertical="center"/>
    </xf>
    <xf numFmtId="0" fontId="11" fillId="6" borderId="32" xfId="0" applyFont="1" applyFill="1" applyBorder="1" applyAlignment="1">
      <alignment vertical="center"/>
    </xf>
    <xf numFmtId="0" fontId="11" fillId="6" borderId="32" xfId="0" applyFont="1" applyFill="1" applyBorder="1" applyAlignment="1">
      <alignment vertical="center" wrapText="1"/>
    </xf>
    <xf numFmtId="0" fontId="11" fillId="6" borderId="35" xfId="0" applyFont="1" applyFill="1" applyBorder="1" applyAlignment="1">
      <alignment vertical="center" wrapText="1"/>
    </xf>
    <xf numFmtId="1" fontId="12" fillId="0" borderId="10" xfId="5" applyNumberFormat="1" applyFont="1" applyFill="1" applyBorder="1" applyAlignment="1">
      <alignment horizontal="center" vertical="center"/>
    </xf>
    <xf numFmtId="0" fontId="11" fillId="7" borderId="33" xfId="0" applyFont="1" applyFill="1" applyBorder="1" applyAlignment="1">
      <alignment horizontal="center" vertical="center"/>
    </xf>
    <xf numFmtId="0" fontId="9" fillId="7" borderId="27" xfId="0" applyFont="1" applyFill="1" applyBorder="1" applyAlignment="1">
      <alignment horizontal="center" vertical="center"/>
    </xf>
    <xf numFmtId="0" fontId="13" fillId="0" borderId="27" xfId="0" applyFont="1" applyBorder="1" applyAlignment="1">
      <alignment horizontal="center" vertical="center"/>
    </xf>
    <xf numFmtId="44" fontId="13" fillId="0" borderId="1" xfId="3" applyFont="1" applyFill="1" applyBorder="1" applyAlignment="1">
      <alignment horizontal="center" vertical="center"/>
    </xf>
    <xf numFmtId="0" fontId="13" fillId="0" borderId="7" xfId="0" applyFont="1" applyBorder="1" applyAlignment="1">
      <alignment horizontal="center" vertical="center"/>
    </xf>
    <xf numFmtId="0" fontId="9" fillId="0" borderId="1" xfId="0" applyFont="1" applyBorder="1" applyAlignment="1">
      <alignment vertical="center"/>
    </xf>
    <xf numFmtId="0" fontId="9" fillId="0" borderId="33" xfId="0" applyFont="1" applyBorder="1" applyAlignment="1">
      <alignment vertical="center"/>
    </xf>
    <xf numFmtId="1" fontId="20" fillId="0" borderId="27" xfId="0" applyNumberFormat="1" applyFont="1" applyBorder="1" applyAlignment="1">
      <alignment horizontal="center" vertical="center"/>
    </xf>
    <xf numFmtId="0" fontId="20" fillId="0" borderId="1" xfId="0" applyFont="1" applyBorder="1" applyAlignment="1">
      <alignment horizontal="center"/>
    </xf>
    <xf numFmtId="168" fontId="13" fillId="0" borderId="1" xfId="0" applyNumberFormat="1" applyFont="1" applyBorder="1" applyAlignment="1">
      <alignment horizontal="center" vertical="center"/>
    </xf>
    <xf numFmtId="1" fontId="12" fillId="3" borderId="22" xfId="5" applyNumberFormat="1" applyFont="1" applyFill="1" applyBorder="1" applyAlignment="1">
      <alignment horizontal="center" vertical="center"/>
    </xf>
    <xf numFmtId="1" fontId="12" fillId="3" borderId="1" xfId="5" applyNumberFormat="1" applyFont="1" applyFill="1" applyBorder="1" applyAlignment="1">
      <alignment vertical="center"/>
    </xf>
    <xf numFmtId="0" fontId="7" fillId="0" borderId="36" xfId="0" applyFont="1" applyBorder="1" applyAlignment="1">
      <alignment horizontal="left" wrapText="1"/>
    </xf>
    <xf numFmtId="0" fontId="20" fillId="0" borderId="30" xfId="0" applyFont="1" applyBorder="1" applyAlignment="1">
      <alignment horizontal="center" vertical="center"/>
    </xf>
    <xf numFmtId="0" fontId="20" fillId="0" borderId="27" xfId="0" applyFont="1" applyBorder="1" applyAlignment="1">
      <alignment horizontal="center" vertical="center"/>
    </xf>
    <xf numFmtId="0" fontId="13" fillId="3" borderId="8" xfId="5" applyFont="1" applyFill="1" applyBorder="1" applyAlignment="1">
      <alignment horizontal="left" vertical="center" wrapText="1"/>
    </xf>
    <xf numFmtId="0" fontId="13" fillId="3" borderId="0" xfId="5" applyFont="1" applyFill="1" applyBorder="1" applyAlignment="1">
      <alignment horizontal="left" vertical="center" wrapText="1"/>
    </xf>
    <xf numFmtId="0" fontId="12" fillId="3" borderId="0" xfId="5" applyFont="1" applyFill="1" applyBorder="1" applyAlignment="1">
      <alignment horizontal="center" vertical="center"/>
    </xf>
    <xf numFmtId="9" fontId="12" fillId="3" borderId="0" xfId="8" applyFont="1" applyFill="1" applyBorder="1" applyAlignment="1">
      <alignment horizontal="center" vertical="center"/>
    </xf>
    <xf numFmtId="44" fontId="12" fillId="3" borderId="0" xfId="3" applyFont="1" applyFill="1" applyBorder="1" applyAlignment="1" applyProtection="1">
      <alignment horizontal="center" vertical="center"/>
    </xf>
    <xf numFmtId="165" fontId="13" fillId="0" borderId="9" xfId="0" applyNumberFormat="1" applyFont="1" applyBorder="1" applyAlignment="1">
      <alignment horizontal="center" vertical="center" wrapText="1"/>
    </xf>
    <xf numFmtId="0" fontId="9" fillId="0" borderId="29" xfId="0" applyFont="1" applyBorder="1" applyAlignment="1">
      <alignment vertical="center"/>
    </xf>
    <xf numFmtId="0" fontId="9" fillId="0" borderId="31" xfId="0" applyFont="1" applyBorder="1" applyAlignment="1">
      <alignment vertical="center"/>
    </xf>
    <xf numFmtId="0" fontId="9" fillId="0" borderId="36" xfId="0" applyFont="1" applyBorder="1" applyAlignment="1">
      <alignment vertical="center"/>
    </xf>
    <xf numFmtId="1" fontId="20" fillId="0" borderId="30" xfId="0" applyNumberFormat="1" applyFont="1" applyBorder="1" applyAlignment="1">
      <alignment horizontal="center" vertical="center"/>
    </xf>
    <xf numFmtId="0" fontId="20" fillId="0" borderId="31" xfId="0" applyFont="1" applyBorder="1" applyAlignment="1">
      <alignment horizontal="center"/>
    </xf>
    <xf numFmtId="168" fontId="13" fillId="0" borderId="31" xfId="0" applyNumberFormat="1" applyFont="1" applyBorder="1" applyAlignment="1">
      <alignment horizontal="center" vertical="center"/>
    </xf>
    <xf numFmtId="44" fontId="13" fillId="0" borderId="31" xfId="3" applyFont="1" applyFill="1" applyBorder="1" applyAlignment="1">
      <alignment horizontal="center" vertical="center"/>
    </xf>
    <xf numFmtId="165" fontId="13" fillId="0" borderId="25" xfId="0" applyNumberFormat="1" applyFont="1" applyBorder="1" applyAlignment="1">
      <alignment horizontal="center" vertical="center" wrapText="1"/>
    </xf>
    <xf numFmtId="0" fontId="9" fillId="0" borderId="10" xfId="0" applyFont="1" applyBorder="1" applyAlignment="1">
      <alignment vertical="center"/>
    </xf>
    <xf numFmtId="0" fontId="9" fillId="0" borderId="30" xfId="0" applyFont="1" applyBorder="1" applyAlignment="1">
      <alignment horizontal="center" vertical="center"/>
    </xf>
    <xf numFmtId="0" fontId="9" fillId="0" borderId="27" xfId="0" applyFont="1" applyBorder="1" applyAlignment="1">
      <alignment horizontal="center" vertical="center"/>
    </xf>
    <xf numFmtId="0" fontId="13" fillId="0" borderId="27" xfId="0" applyFont="1" applyBorder="1" applyAlignment="1">
      <alignment horizontal="center" vertical="center" wrapText="1"/>
    </xf>
    <xf numFmtId="1" fontId="13" fillId="0" borderId="27" xfId="0" applyNumberFormat="1" applyFont="1" applyBorder="1" applyAlignment="1">
      <alignment horizontal="center" vertical="center" wrapText="1"/>
    </xf>
    <xf numFmtId="9" fontId="13" fillId="0" borderId="1" xfId="0" applyNumberFormat="1" applyFont="1" applyBorder="1" applyAlignment="1">
      <alignment horizontal="center" vertical="center" wrapText="1"/>
    </xf>
    <xf numFmtId="1" fontId="13" fillId="0" borderId="1" xfId="0" applyNumberFormat="1" applyFont="1" applyBorder="1" applyAlignment="1">
      <alignment horizontal="center" vertical="center" wrapText="1"/>
    </xf>
    <xf numFmtId="168" fontId="13" fillId="0" borderId="1" xfId="0" applyNumberFormat="1" applyFont="1" applyBorder="1" applyAlignment="1">
      <alignment horizontal="center" vertical="center" wrapText="1"/>
    </xf>
    <xf numFmtId="44" fontId="13" fillId="0" borderId="1" xfId="3" applyFont="1" applyBorder="1" applyAlignment="1">
      <alignment horizontal="center" vertical="center" wrapText="1"/>
    </xf>
    <xf numFmtId="0" fontId="13" fillId="0" borderId="37" xfId="0" applyFont="1" applyBorder="1" applyAlignment="1">
      <alignment horizontal="center" vertical="center" wrapText="1"/>
    </xf>
    <xf numFmtId="1" fontId="13" fillId="0" borderId="27" xfId="0" applyNumberFormat="1" applyFont="1" applyBorder="1" applyAlignment="1">
      <alignment horizontal="center" vertical="center"/>
    </xf>
    <xf numFmtId="1" fontId="20" fillId="0" borderId="1" xfId="0" applyNumberFormat="1" applyFont="1" applyBorder="1" applyAlignment="1">
      <alignment horizontal="center" vertical="center"/>
    </xf>
    <xf numFmtId="0" fontId="9" fillId="0" borderId="39" xfId="0" applyFont="1" applyBorder="1" applyAlignment="1">
      <alignment vertical="center"/>
    </xf>
    <xf numFmtId="0" fontId="9" fillId="0" borderId="34" xfId="0" applyFont="1" applyBorder="1" applyAlignment="1">
      <alignment vertical="center"/>
    </xf>
    <xf numFmtId="0" fontId="9" fillId="0" borderId="34" xfId="0" applyFont="1" applyBorder="1" applyAlignment="1">
      <alignment vertical="center" wrapText="1"/>
    </xf>
    <xf numFmtId="0" fontId="9" fillId="0" borderId="34" xfId="0" applyFont="1" applyBorder="1" applyAlignment="1">
      <alignment horizontal="center" vertical="center"/>
    </xf>
    <xf numFmtId="1" fontId="9" fillId="0" borderId="34" xfId="0" applyNumberFormat="1" applyFont="1" applyBorder="1" applyAlignment="1">
      <alignment horizontal="center" vertical="center"/>
    </xf>
    <xf numFmtId="168" fontId="9" fillId="0" borderId="34" xfId="0" applyNumberFormat="1" applyFont="1" applyBorder="1" applyAlignment="1">
      <alignment vertical="center"/>
    </xf>
    <xf numFmtId="44" fontId="9" fillId="0" borderId="34" xfId="3" applyFont="1" applyFill="1" applyBorder="1" applyAlignment="1">
      <alignment horizontal="right" vertical="center"/>
    </xf>
    <xf numFmtId="44" fontId="9" fillId="0" borderId="34" xfId="0" applyNumberFormat="1" applyFont="1" applyBorder="1" applyAlignment="1">
      <alignment horizontal="right" vertical="center" wrapText="1"/>
    </xf>
    <xf numFmtId="165" fontId="9" fillId="0" borderId="40" xfId="3" applyNumberFormat="1" applyFont="1" applyFill="1" applyBorder="1" applyAlignment="1">
      <alignment vertical="center" wrapText="1"/>
    </xf>
    <xf numFmtId="0" fontId="13" fillId="0" borderId="10" xfId="0" applyFont="1" applyBorder="1" applyAlignment="1">
      <alignment horizontal="center" vertical="center"/>
    </xf>
    <xf numFmtId="0" fontId="11" fillId="7" borderId="22" xfId="0" applyFont="1" applyFill="1" applyBorder="1" applyAlignment="1">
      <alignment horizontal="left" vertical="center"/>
    </xf>
    <xf numFmtId="0" fontId="11" fillId="7" borderId="28" xfId="0" applyFont="1" applyFill="1" applyBorder="1" applyAlignment="1">
      <alignment horizontal="left" vertical="center"/>
    </xf>
    <xf numFmtId="0" fontId="11" fillId="7" borderId="28" xfId="0" applyFont="1" applyFill="1" applyBorder="1" applyAlignment="1">
      <alignment horizontal="center" vertical="center"/>
    </xf>
    <xf numFmtId="9" fontId="11" fillId="7" borderId="4" xfId="0" applyNumberFormat="1" applyFont="1" applyFill="1" applyBorder="1" applyAlignment="1">
      <alignment horizontal="center" vertical="center" wrapText="1"/>
    </xf>
    <xf numFmtId="166" fontId="11" fillId="7" borderId="12" xfId="0" applyNumberFormat="1" applyFont="1" applyFill="1" applyBorder="1" applyAlignment="1">
      <alignment horizontal="center" vertical="center" wrapText="1"/>
    </xf>
    <xf numFmtId="0" fontId="11" fillId="7" borderId="13" xfId="0" applyFont="1" applyFill="1" applyBorder="1" applyAlignment="1">
      <alignment horizontal="left" vertical="center"/>
    </xf>
    <xf numFmtId="0" fontId="11" fillId="7" borderId="5" xfId="0" applyFont="1" applyFill="1" applyBorder="1" applyAlignment="1">
      <alignment horizontal="left" vertical="center"/>
    </xf>
    <xf numFmtId="9" fontId="11" fillId="7" borderId="1" xfId="0" applyNumberFormat="1" applyFont="1" applyFill="1" applyBorder="1" applyAlignment="1">
      <alignment horizontal="center" vertical="center" wrapText="1"/>
    </xf>
    <xf numFmtId="166" fontId="11" fillId="7" borderId="11" xfId="0" applyNumberFormat="1" applyFont="1" applyFill="1" applyBorder="1" applyAlignment="1">
      <alignment horizontal="center" vertical="center" wrapText="1"/>
    </xf>
    <xf numFmtId="0" fontId="23" fillId="0" borderId="9" xfId="0" applyFont="1" applyBorder="1" applyAlignment="1">
      <alignment horizontal="center" vertical="center" wrapText="1"/>
    </xf>
    <xf numFmtId="0" fontId="13" fillId="0" borderId="8" xfId="0" applyFont="1" applyBorder="1" applyAlignment="1">
      <alignment horizontal="left" vertical="center"/>
    </xf>
    <xf numFmtId="0" fontId="14" fillId="0" borderId="14" xfId="0" applyFont="1" applyBorder="1" applyAlignment="1">
      <alignment vertical="center" wrapText="1"/>
    </xf>
    <xf numFmtId="0" fontId="14" fillId="0" borderId="15" xfId="0" applyFont="1" applyBorder="1" applyAlignment="1">
      <alignment vertical="center" wrapText="1"/>
    </xf>
    <xf numFmtId="0" fontId="23" fillId="0" borderId="15" xfId="0" applyFont="1" applyBorder="1" applyAlignment="1">
      <alignment horizontal="center" vertical="center"/>
    </xf>
    <xf numFmtId="0" fontId="23" fillId="0" borderId="15" xfId="0" applyFont="1" applyBorder="1" applyAlignment="1">
      <alignment horizontal="center" vertical="center" wrapText="1"/>
    </xf>
    <xf numFmtId="0" fontId="23" fillId="0" borderId="16" xfId="0" applyFont="1" applyBorder="1" applyAlignment="1">
      <alignment horizontal="center" vertical="center" wrapText="1"/>
    </xf>
    <xf numFmtId="0" fontId="11" fillId="7" borderId="32" xfId="0" applyFont="1" applyFill="1" applyBorder="1" applyAlignment="1">
      <alignment horizontal="center" vertical="center"/>
    </xf>
    <xf numFmtId="0" fontId="11" fillId="7" borderId="27" xfId="0" applyFont="1" applyFill="1" applyBorder="1" applyAlignment="1">
      <alignment horizontal="center" vertical="center"/>
    </xf>
    <xf numFmtId="0" fontId="13" fillId="0" borderId="1" xfId="0" applyFont="1" applyBorder="1" applyAlignment="1">
      <alignment horizontal="left" vertical="center"/>
    </xf>
    <xf numFmtId="0" fontId="11" fillId="7" borderId="32" xfId="0" applyFont="1" applyFill="1" applyBorder="1" applyAlignment="1">
      <alignment vertical="center"/>
    </xf>
    <xf numFmtId="0" fontId="11" fillId="7" borderId="27" xfId="0" applyFont="1" applyFill="1" applyBorder="1" applyAlignment="1">
      <alignment vertical="center"/>
    </xf>
    <xf numFmtId="0" fontId="7" fillId="0" borderId="0" xfId="0" applyFont="1" applyAlignment="1">
      <alignment horizontal="left" vertical="center"/>
    </xf>
    <xf numFmtId="0" fontId="14" fillId="3" borderId="0" xfId="0" applyFont="1" applyFill="1" applyAlignment="1">
      <alignment vertical="center"/>
    </xf>
    <xf numFmtId="3" fontId="7" fillId="3" borderId="0" xfId="0" applyNumberFormat="1" applyFont="1" applyFill="1" applyAlignment="1">
      <alignment horizontal="left" vertical="center" wrapText="1"/>
    </xf>
    <xf numFmtId="0" fontId="6" fillId="3" borderId="0" xfId="0" applyFont="1" applyFill="1" applyAlignment="1">
      <alignment vertical="center"/>
    </xf>
    <xf numFmtId="0" fontId="18" fillId="3" borderId="0" xfId="0" applyFont="1" applyFill="1" applyAlignment="1">
      <alignment horizontal="right" vertical="center"/>
    </xf>
    <xf numFmtId="0" fontId="18" fillId="3" borderId="0" xfId="0" applyFont="1" applyFill="1" applyAlignment="1">
      <alignment horizontal="right" vertical="center" wrapText="1"/>
    </xf>
    <xf numFmtId="0" fontId="9" fillId="0" borderId="0" xfId="0" applyFont="1" applyAlignment="1">
      <alignment vertical="center"/>
    </xf>
    <xf numFmtId="44" fontId="9" fillId="0" borderId="0" xfId="0" applyNumberFormat="1" applyFont="1" applyAlignment="1">
      <alignment horizontal="right" vertical="center" wrapText="1"/>
    </xf>
    <xf numFmtId="0" fontId="9" fillId="0" borderId="0" xfId="0" applyFont="1" applyAlignment="1">
      <alignment horizontal="center" vertical="center"/>
    </xf>
    <xf numFmtId="1" fontId="13" fillId="0" borderId="0" xfId="0" applyNumberFormat="1" applyFont="1" applyAlignment="1">
      <alignment horizontal="center" vertical="center"/>
    </xf>
    <xf numFmtId="168" fontId="13" fillId="0" borderId="0" xfId="0" applyNumberFormat="1" applyFont="1" applyAlignment="1">
      <alignment horizontal="center" vertical="center"/>
    </xf>
    <xf numFmtId="44" fontId="13" fillId="0" borderId="0" xfId="0" applyNumberFormat="1" applyFont="1" applyAlignment="1">
      <alignment horizontal="center" vertical="center" wrapText="1"/>
    </xf>
    <xf numFmtId="1" fontId="14" fillId="0" borderId="0" xfId="0" applyNumberFormat="1" applyFont="1" applyAlignment="1">
      <alignment horizontal="center" vertical="center"/>
    </xf>
    <xf numFmtId="0" fontId="23" fillId="0" borderId="0" xfId="0" applyFont="1" applyAlignment="1">
      <alignment horizontal="center" vertical="center"/>
    </xf>
    <xf numFmtId="0" fontId="23" fillId="0" borderId="0" xfId="0" applyFont="1" applyAlignment="1">
      <alignment horizontal="center" vertical="center" wrapText="1"/>
    </xf>
    <xf numFmtId="0" fontId="13" fillId="0" borderId="0" xfId="0" applyFont="1" applyAlignment="1">
      <alignment horizontal="left" vertical="center"/>
    </xf>
    <xf numFmtId="0" fontId="13" fillId="0" borderId="22" xfId="0" applyFont="1" applyBorder="1" applyAlignment="1">
      <alignment horizontal="center" vertical="center"/>
    </xf>
    <xf numFmtId="0" fontId="9" fillId="9" borderId="1" xfId="0" applyFont="1" applyFill="1" applyBorder="1" applyAlignment="1">
      <alignment vertical="center"/>
    </xf>
    <xf numFmtId="0" fontId="13" fillId="0" borderId="31" xfId="0" applyFont="1" applyBorder="1" applyAlignment="1">
      <alignment horizontal="right" vertical="center"/>
    </xf>
    <xf numFmtId="0" fontId="11" fillId="6" borderId="24" xfId="0" applyFont="1" applyFill="1" applyBorder="1" applyAlignment="1">
      <alignment horizontal="center" vertical="center" wrapText="1"/>
    </xf>
    <xf numFmtId="0" fontId="11" fillId="6" borderId="26" xfId="0" applyFont="1" applyFill="1" applyBorder="1" applyAlignment="1">
      <alignment horizontal="center" vertical="center" wrapText="1"/>
    </xf>
    <xf numFmtId="0" fontId="11" fillId="6" borderId="19" xfId="0" applyFont="1" applyFill="1" applyBorder="1" applyAlignment="1">
      <alignment horizontal="center" vertical="center" wrapText="1"/>
    </xf>
    <xf numFmtId="0" fontId="11" fillId="6" borderId="38" xfId="0" applyFont="1" applyFill="1" applyBorder="1" applyAlignment="1">
      <alignment horizontal="center" vertical="center" wrapText="1"/>
    </xf>
    <xf numFmtId="49" fontId="7" fillId="3" borderId="0" xfId="0" applyNumberFormat="1" applyFont="1" applyFill="1" applyAlignment="1">
      <alignment horizontal="left" vertical="center"/>
    </xf>
    <xf numFmtId="1" fontId="10" fillId="0" borderId="33" xfId="5" applyNumberFormat="1" applyFont="1" applyFill="1" applyBorder="1" applyAlignment="1">
      <alignment horizontal="center" vertical="center"/>
    </xf>
    <xf numFmtId="1" fontId="10" fillId="0" borderId="1" xfId="5" applyNumberFormat="1" applyFont="1" applyFill="1" applyBorder="1" applyAlignment="1">
      <alignment horizontal="center" vertical="center"/>
    </xf>
    <xf numFmtId="1" fontId="10" fillId="3" borderId="27" xfId="5" applyNumberFormat="1" applyFont="1" applyFill="1" applyBorder="1" applyAlignment="1">
      <alignment horizontal="center" vertical="center"/>
    </xf>
    <xf numFmtId="1" fontId="10" fillId="0" borderId="1" xfId="5" applyNumberFormat="1" applyFont="1" applyFill="1" applyBorder="1" applyAlignment="1">
      <alignment horizontal="center" vertical="center" wrapText="1"/>
    </xf>
    <xf numFmtId="1" fontId="10" fillId="0" borderId="33" xfId="5" applyNumberFormat="1" applyFont="1" applyFill="1" applyBorder="1" applyAlignment="1">
      <alignment horizontal="center" vertical="center" wrapText="1"/>
    </xf>
    <xf numFmtId="1" fontId="10" fillId="3" borderId="30" xfId="5" applyNumberFormat="1" applyFont="1" applyFill="1" applyBorder="1" applyAlignment="1">
      <alignment horizontal="center" vertical="center" wrapText="1"/>
    </xf>
    <xf numFmtId="1" fontId="10" fillId="3" borderId="27" xfId="5" applyNumberFormat="1" applyFont="1" applyFill="1" applyBorder="1" applyAlignment="1">
      <alignment horizontal="center" vertical="center" wrapText="1"/>
    </xf>
    <xf numFmtId="0" fontId="13" fillId="0" borderId="31" xfId="0" applyFont="1" applyBorder="1" applyAlignment="1">
      <alignment horizontal="left" vertical="center" wrapText="1"/>
    </xf>
    <xf numFmtId="1" fontId="10" fillId="3" borderId="32" xfId="5" applyNumberFormat="1" applyFont="1" applyFill="1" applyBorder="1" applyAlignment="1">
      <alignment horizontal="center" vertical="center" wrapText="1"/>
    </xf>
    <xf numFmtId="0" fontId="13" fillId="0" borderId="36" xfId="0" applyFont="1" applyBorder="1" applyAlignment="1">
      <alignment horizontal="left" vertical="center"/>
    </xf>
    <xf numFmtId="0" fontId="13" fillId="0" borderId="36" xfId="0" applyFont="1" applyBorder="1" applyAlignment="1">
      <alignment horizontal="left" vertical="center" wrapText="1"/>
    </xf>
    <xf numFmtId="0" fontId="21" fillId="0" borderId="36" xfId="0" applyFont="1" applyBorder="1" applyAlignment="1">
      <alignment horizontal="left" vertical="center" wrapText="1"/>
    </xf>
    <xf numFmtId="0" fontId="21" fillId="0" borderId="1" xfId="0" applyFont="1" applyBorder="1" applyAlignment="1">
      <alignment horizontal="left" vertical="center" wrapText="1"/>
    </xf>
    <xf numFmtId="0" fontId="9" fillId="0" borderId="31" xfId="0" applyFont="1" applyBorder="1" applyAlignment="1">
      <alignment horizontal="left" vertical="center"/>
    </xf>
    <xf numFmtId="0" fontId="21" fillId="0" borderId="31" xfId="0" applyFont="1" applyBorder="1" applyAlignment="1">
      <alignment horizontal="left" vertical="center" wrapText="1"/>
    </xf>
    <xf numFmtId="1" fontId="10" fillId="3" borderId="1" xfId="5" applyNumberFormat="1" applyFont="1" applyFill="1" applyBorder="1" applyAlignment="1">
      <alignment horizontal="center" vertical="center"/>
    </xf>
    <xf numFmtId="0" fontId="9" fillId="0" borderId="1" xfId="0" applyFont="1" applyBorder="1" applyAlignment="1">
      <alignment horizontal="center" vertical="center"/>
    </xf>
    <xf numFmtId="0" fontId="9" fillId="0" borderId="33" xfId="0" applyFont="1" applyBorder="1" applyAlignment="1">
      <alignment horizontal="center" vertical="center"/>
    </xf>
    <xf numFmtId="0" fontId="9" fillId="0" borderId="32" xfId="0" applyFont="1" applyBorder="1" applyAlignment="1">
      <alignment horizontal="center" vertical="center"/>
    </xf>
    <xf numFmtId="0" fontId="9" fillId="0" borderId="1" xfId="0" applyFont="1" applyBorder="1" applyAlignment="1">
      <alignment horizontal="center" vertical="center" wrapText="1"/>
    </xf>
    <xf numFmtId="0" fontId="9" fillId="0" borderId="33" xfId="0" applyFont="1" applyBorder="1" applyAlignment="1">
      <alignment horizontal="center" vertical="center" wrapText="1"/>
    </xf>
    <xf numFmtId="1" fontId="10" fillId="3" borderId="1" xfId="5" applyNumberFormat="1" applyFont="1" applyFill="1" applyBorder="1" applyAlignment="1">
      <alignment horizontal="center" vertical="center" wrapText="1"/>
    </xf>
    <xf numFmtId="0" fontId="9" fillId="0" borderId="32" xfId="0" applyFont="1" applyBorder="1" applyAlignment="1">
      <alignment horizontal="center" vertical="center" wrapText="1"/>
    </xf>
    <xf numFmtId="0" fontId="13" fillId="0" borderId="32" xfId="0" applyFont="1" applyBorder="1" applyAlignment="1">
      <alignment horizontal="center" vertical="center"/>
    </xf>
    <xf numFmtId="0" fontId="9" fillId="0" borderId="27" xfId="0" applyFont="1" applyBorder="1" applyAlignment="1">
      <alignment horizontal="center" vertical="center" wrapText="1"/>
    </xf>
    <xf numFmtId="0" fontId="9" fillId="0" borderId="7" xfId="0" applyFont="1" applyBorder="1" applyAlignment="1">
      <alignment horizontal="center" vertical="center" wrapText="1"/>
    </xf>
    <xf numFmtId="1" fontId="10" fillId="3" borderId="7" xfId="5" applyNumberFormat="1" applyFont="1" applyFill="1" applyBorder="1" applyAlignment="1">
      <alignment horizontal="center" vertical="center" wrapText="1"/>
    </xf>
    <xf numFmtId="1" fontId="10" fillId="3" borderId="31" xfId="5" applyNumberFormat="1" applyFont="1" applyFill="1" applyBorder="1" applyAlignment="1">
      <alignment horizontal="center" vertical="center" wrapText="1"/>
    </xf>
    <xf numFmtId="0" fontId="20" fillId="0" borderId="1" xfId="0" applyFont="1" applyBorder="1" applyAlignment="1">
      <alignment horizontal="center" vertical="center"/>
    </xf>
    <xf numFmtId="0" fontId="9" fillId="0" borderId="30" xfId="0" applyFont="1" applyBorder="1" applyAlignment="1">
      <alignment horizontal="center" vertical="center" wrapText="1"/>
    </xf>
    <xf numFmtId="0" fontId="9" fillId="0" borderId="27" xfId="0" applyFont="1" applyBorder="1" applyAlignment="1">
      <alignment horizontal="center" vertical="top" wrapText="1"/>
    </xf>
    <xf numFmtId="0" fontId="13" fillId="0" borderId="30" xfId="0" applyFont="1" applyBorder="1" applyAlignment="1">
      <alignment horizontal="center" vertical="center"/>
    </xf>
    <xf numFmtId="1" fontId="10" fillId="0" borderId="31" xfId="5" applyNumberFormat="1" applyFont="1" applyFill="1" applyBorder="1" applyAlignment="1">
      <alignment horizontal="center" vertical="center" wrapText="1"/>
    </xf>
    <xf numFmtId="0" fontId="11" fillId="7" borderId="33" xfId="0" applyFont="1" applyFill="1" applyBorder="1" applyAlignment="1">
      <alignment horizontal="center" vertical="center" wrapText="1"/>
    </xf>
    <xf numFmtId="0" fontId="13" fillId="0" borderId="1" xfId="0" applyFont="1" applyBorder="1" applyAlignment="1">
      <alignment horizontal="right" vertical="center" wrapText="1"/>
    </xf>
    <xf numFmtId="0" fontId="13" fillId="0" borderId="1" xfId="0" applyFont="1" applyBorder="1" applyAlignment="1">
      <alignment horizontal="right" vertical="center"/>
    </xf>
    <xf numFmtId="168" fontId="13" fillId="0" borderId="1" xfId="3" applyNumberFormat="1" applyFont="1" applyBorder="1" applyAlignment="1">
      <alignment horizontal="center" vertical="center"/>
    </xf>
    <xf numFmtId="0" fontId="13" fillId="0" borderId="1" xfId="0" applyFont="1" applyBorder="1" applyAlignment="1">
      <alignment horizontal="left" vertical="center" wrapText="1"/>
    </xf>
    <xf numFmtId="168" fontId="12" fillId="3" borderId="30" xfId="5" applyNumberFormat="1" applyFont="1" applyFill="1" applyBorder="1" applyAlignment="1">
      <alignment horizontal="center" vertical="center"/>
    </xf>
    <xf numFmtId="168" fontId="13" fillId="0" borderId="1" xfId="3" applyNumberFormat="1" applyFont="1" applyFill="1" applyBorder="1" applyAlignment="1">
      <alignment horizontal="center" vertical="center"/>
    </xf>
    <xf numFmtId="0" fontId="24" fillId="3" borderId="0" xfId="0" applyFont="1" applyFill="1" applyAlignment="1">
      <alignment vertical="center"/>
    </xf>
    <xf numFmtId="1" fontId="10" fillId="3" borderId="28" xfId="5" applyNumberFormat="1" applyFont="1" applyFill="1" applyBorder="1" applyAlignment="1">
      <alignment horizontal="center" vertical="center" wrapText="1"/>
    </xf>
    <xf numFmtId="0" fontId="9" fillId="0" borderId="27" xfId="0" applyFont="1" applyBorder="1" applyAlignment="1">
      <alignment vertical="center" wrapText="1"/>
    </xf>
    <xf numFmtId="0" fontId="13" fillId="0" borderId="1" xfId="0" applyFont="1" applyBorder="1" applyAlignment="1">
      <alignment horizontal="center" vertical="center" wrapText="1"/>
    </xf>
    <xf numFmtId="0" fontId="15" fillId="10" borderId="22" xfId="0" applyFont="1" applyFill="1" applyBorder="1" applyAlignment="1">
      <alignment vertical="center"/>
    </xf>
    <xf numFmtId="0" fontId="15" fillId="10" borderId="32" xfId="0" applyFont="1" applyFill="1" applyBorder="1" applyAlignment="1">
      <alignment vertical="center"/>
    </xf>
    <xf numFmtId="0" fontId="11" fillId="10" borderId="34" xfId="0" applyFont="1" applyFill="1" applyBorder="1" applyAlignment="1">
      <alignment horizontal="center" vertical="center"/>
    </xf>
    <xf numFmtId="0" fontId="19" fillId="10" borderId="34" xfId="0" applyFont="1" applyFill="1" applyBorder="1" applyAlignment="1">
      <alignment vertical="center"/>
    </xf>
    <xf numFmtId="0" fontId="11" fillId="10" borderId="32" xfId="0" applyFont="1" applyFill="1" applyBorder="1" applyAlignment="1">
      <alignment vertical="center"/>
    </xf>
    <xf numFmtId="0" fontId="11" fillId="10" borderId="32" xfId="0" applyFont="1" applyFill="1" applyBorder="1" applyAlignment="1">
      <alignment vertical="center" wrapText="1"/>
    </xf>
    <xf numFmtId="0" fontId="11" fillId="10" borderId="35" xfId="0" applyFont="1" applyFill="1" applyBorder="1" applyAlignment="1">
      <alignment vertical="center" wrapText="1"/>
    </xf>
    <xf numFmtId="0" fontId="11" fillId="7" borderId="41" xfId="0" applyFont="1" applyFill="1" applyBorder="1" applyAlignment="1">
      <alignment horizontal="left" vertical="center"/>
    </xf>
    <xf numFmtId="0" fontId="11" fillId="7" borderId="42" xfId="0" applyFont="1" applyFill="1" applyBorder="1" applyAlignment="1">
      <alignment horizontal="left" vertical="center"/>
    </xf>
    <xf numFmtId="0" fontId="11" fillId="7" borderId="42" xfId="0" applyFont="1" applyFill="1" applyBorder="1" applyAlignment="1">
      <alignment horizontal="right" vertical="center"/>
    </xf>
    <xf numFmtId="0" fontId="11" fillId="7" borderId="43" xfId="0" applyFont="1" applyFill="1" applyBorder="1" applyAlignment="1">
      <alignment horizontal="right" vertical="center"/>
    </xf>
    <xf numFmtId="1" fontId="10" fillId="3" borderId="1" xfId="5" applyNumberFormat="1" applyFont="1" applyFill="1" applyBorder="1" applyAlignment="1">
      <alignment horizontal="center" vertical="top" wrapText="1"/>
    </xf>
    <xf numFmtId="0" fontId="9" fillId="0" borderId="31" xfId="0" applyFont="1" applyBorder="1" applyAlignment="1">
      <alignment horizontal="left" vertical="center" wrapText="1"/>
    </xf>
    <xf numFmtId="1" fontId="10" fillId="0" borderId="7" xfId="5" applyNumberFormat="1" applyFont="1" applyFill="1" applyBorder="1" applyAlignment="1">
      <alignment horizontal="center" vertical="center" wrapText="1"/>
    </xf>
    <xf numFmtId="1" fontId="10" fillId="0" borderId="7" xfId="5" applyNumberFormat="1" applyFont="1" applyFill="1" applyBorder="1" applyAlignment="1">
      <alignment horizontal="center" vertical="center"/>
    </xf>
    <xf numFmtId="1" fontId="10" fillId="3" borderId="7" xfId="5" applyNumberFormat="1" applyFont="1" applyFill="1" applyBorder="1" applyAlignment="1">
      <alignment horizontal="center" vertical="center"/>
    </xf>
    <xf numFmtId="0" fontId="11" fillId="7" borderId="5" xfId="0" applyFont="1" applyFill="1" applyBorder="1" applyAlignment="1">
      <alignment horizontal="right" vertical="center"/>
    </xf>
    <xf numFmtId="0" fontId="11" fillId="7" borderId="6" xfId="0" applyFont="1" applyFill="1" applyBorder="1" applyAlignment="1">
      <alignment horizontal="right" vertical="center"/>
    </xf>
    <xf numFmtId="1" fontId="12" fillId="3" borderId="7" xfId="5" applyNumberFormat="1" applyFont="1" applyFill="1" applyBorder="1" applyAlignment="1">
      <alignment horizontal="center" vertical="center"/>
    </xf>
    <xf numFmtId="1" fontId="10" fillId="0" borderId="27" xfId="5" applyNumberFormat="1" applyFont="1" applyFill="1" applyBorder="1" applyAlignment="1">
      <alignment horizontal="center" vertical="center" wrapText="1"/>
    </xf>
    <xf numFmtId="0" fontId="14" fillId="0" borderId="0" xfId="0" applyFont="1" applyAlignment="1">
      <alignment vertical="center"/>
    </xf>
    <xf numFmtId="169" fontId="6" fillId="3" borderId="9" xfId="0" applyNumberFormat="1" applyFont="1" applyFill="1" applyBorder="1" applyAlignment="1">
      <alignment horizontal="center" vertical="center" wrapText="1"/>
    </xf>
    <xf numFmtId="170" fontId="2" fillId="2" borderId="2" xfId="0" applyNumberFormat="1" applyFont="1" applyFill="1" applyBorder="1" applyAlignment="1">
      <alignment horizontal="center" vertical="center" wrapText="1"/>
    </xf>
    <xf numFmtId="170" fontId="7" fillId="0" borderId="0" xfId="0" applyNumberFormat="1" applyFont="1" applyAlignment="1">
      <alignment vertical="center"/>
    </xf>
    <xf numFmtId="170" fontId="14" fillId="0" borderId="0" xfId="0" applyNumberFormat="1" applyFont="1" applyAlignment="1">
      <alignment horizontal="center" vertical="center"/>
    </xf>
    <xf numFmtId="170" fontId="11" fillId="6" borderId="19" xfId="0" applyNumberFormat="1" applyFont="1" applyFill="1" applyBorder="1" applyAlignment="1">
      <alignment horizontal="center" vertical="center" wrapText="1"/>
    </xf>
    <xf numFmtId="170" fontId="11" fillId="6" borderId="32" xfId="0" applyNumberFormat="1" applyFont="1" applyFill="1" applyBorder="1" applyAlignment="1">
      <alignment vertical="center"/>
    </xf>
    <xf numFmtId="170" fontId="12" fillId="3" borderId="30" xfId="5" applyNumberFormat="1" applyFont="1" applyFill="1" applyBorder="1" applyAlignment="1">
      <alignment horizontal="center" vertical="center"/>
    </xf>
    <xf numFmtId="170" fontId="9" fillId="8" borderId="32" xfId="0" applyNumberFormat="1" applyFont="1" applyFill="1" applyBorder="1" applyAlignment="1">
      <alignment vertical="center"/>
    </xf>
    <xf numFmtId="170" fontId="9" fillId="0" borderId="0" xfId="0" applyNumberFormat="1" applyFont="1" applyAlignment="1">
      <alignment vertical="center"/>
    </xf>
    <xf numFmtId="170" fontId="13" fillId="0" borderId="1" xfId="0" applyNumberFormat="1" applyFont="1" applyBorder="1" applyAlignment="1">
      <alignment horizontal="center" vertical="center"/>
    </xf>
    <xf numFmtId="170" fontId="13" fillId="0" borderId="31" xfId="0" applyNumberFormat="1" applyFont="1" applyBorder="1" applyAlignment="1">
      <alignment horizontal="center" vertical="center"/>
    </xf>
    <xf numFmtId="170" fontId="13" fillId="0" borderId="1" xfId="3" applyNumberFormat="1" applyFont="1" applyBorder="1" applyAlignment="1">
      <alignment horizontal="center" vertical="center"/>
    </xf>
    <xf numFmtId="170" fontId="13" fillId="0" borderId="1" xfId="3" applyNumberFormat="1" applyFont="1" applyFill="1" applyBorder="1" applyAlignment="1">
      <alignment horizontal="center" vertical="center"/>
    </xf>
    <xf numFmtId="170" fontId="12" fillId="0" borderId="30" xfId="5" applyNumberFormat="1" applyFont="1" applyFill="1" applyBorder="1" applyAlignment="1">
      <alignment horizontal="center" vertical="center"/>
    </xf>
    <xf numFmtId="170" fontId="13" fillId="0" borderId="0" xfId="0" applyNumberFormat="1" applyFont="1" applyAlignment="1">
      <alignment horizontal="center" vertical="center"/>
    </xf>
    <xf numFmtId="170" fontId="13" fillId="0" borderId="1" xfId="0" applyNumberFormat="1" applyFont="1" applyBorder="1" applyAlignment="1">
      <alignment horizontal="center" vertical="center" wrapText="1"/>
    </xf>
    <xf numFmtId="170" fontId="9" fillId="0" borderId="34" xfId="0" applyNumberFormat="1" applyFont="1" applyBorder="1" applyAlignment="1">
      <alignment vertical="center"/>
    </xf>
    <xf numFmtId="170" fontId="11" fillId="7" borderId="5" xfId="0" applyNumberFormat="1" applyFont="1" applyFill="1" applyBorder="1" applyAlignment="1">
      <alignment horizontal="right" vertical="center"/>
    </xf>
    <xf numFmtId="170" fontId="11" fillId="7" borderId="42" xfId="0" applyNumberFormat="1" applyFont="1" applyFill="1" applyBorder="1" applyAlignment="1">
      <alignment horizontal="right" vertical="center"/>
    </xf>
    <xf numFmtId="170" fontId="11" fillId="10" borderId="32" xfId="0" applyNumberFormat="1" applyFont="1" applyFill="1" applyBorder="1" applyAlignment="1">
      <alignment vertical="center"/>
    </xf>
    <xf numFmtId="170" fontId="23" fillId="0" borderId="0" xfId="0" applyNumberFormat="1" applyFont="1" applyAlignment="1">
      <alignment horizontal="center" vertical="center"/>
    </xf>
    <xf numFmtId="170" fontId="23" fillId="0" borderId="15" xfId="0" applyNumberFormat="1" applyFont="1" applyBorder="1" applyAlignment="1">
      <alignment horizontal="center" vertical="center"/>
    </xf>
    <xf numFmtId="170" fontId="0" fillId="3" borderId="0" xfId="0" applyNumberFormat="1" applyFill="1" applyAlignment="1">
      <alignment horizontal="center" vertical="center"/>
    </xf>
    <xf numFmtId="168" fontId="2" fillId="2" borderId="2" xfId="0" applyNumberFormat="1" applyFont="1" applyFill="1" applyBorder="1" applyAlignment="1">
      <alignment horizontal="center" vertical="center" wrapText="1"/>
    </xf>
    <xf numFmtId="168" fontId="7" fillId="0" borderId="0" xfId="0" applyNumberFormat="1" applyFont="1" applyAlignment="1">
      <alignment vertical="center"/>
    </xf>
    <xf numFmtId="168" fontId="14" fillId="0" borderId="0" xfId="0" applyNumberFormat="1" applyFont="1" applyAlignment="1">
      <alignment horizontal="center" vertical="center"/>
    </xf>
    <xf numFmtId="168" fontId="11" fillId="6" borderId="19" xfId="0" applyNumberFormat="1" applyFont="1" applyFill="1" applyBorder="1" applyAlignment="1">
      <alignment horizontal="center" vertical="center" wrapText="1"/>
    </xf>
    <xf numFmtId="168" fontId="11" fillId="6" borderId="32" xfId="0" applyNumberFormat="1" applyFont="1" applyFill="1" applyBorder="1" applyAlignment="1">
      <alignment vertical="center"/>
    </xf>
    <xf numFmtId="168" fontId="9" fillId="8" borderId="32" xfId="0" applyNumberFormat="1" applyFont="1" applyFill="1" applyBorder="1" applyAlignment="1">
      <alignment vertical="center"/>
    </xf>
    <xf numFmtId="168" fontId="9" fillId="0" borderId="0" xfId="0" applyNumberFormat="1" applyFont="1" applyAlignment="1">
      <alignment vertical="center"/>
    </xf>
    <xf numFmtId="168" fontId="12" fillId="0" borderId="30" xfId="5" applyNumberFormat="1" applyFont="1" applyFill="1" applyBorder="1" applyAlignment="1">
      <alignment horizontal="center" vertical="center"/>
    </xf>
    <xf numFmtId="168" fontId="11" fillId="7" borderId="5" xfId="0" applyNumberFormat="1" applyFont="1" applyFill="1" applyBorder="1" applyAlignment="1">
      <alignment horizontal="right" vertical="center"/>
    </xf>
    <xf numFmtId="168" fontId="11" fillId="7" borderId="42" xfId="0" applyNumberFormat="1" applyFont="1" applyFill="1" applyBorder="1" applyAlignment="1">
      <alignment horizontal="right" vertical="center"/>
    </xf>
    <xf numFmtId="168" fontId="11" fillId="10" borderId="32" xfId="0" applyNumberFormat="1" applyFont="1" applyFill="1" applyBorder="1" applyAlignment="1">
      <alignment vertical="center"/>
    </xf>
    <xf numFmtId="168" fontId="23" fillId="0" borderId="0" xfId="0" applyNumberFormat="1" applyFont="1" applyAlignment="1">
      <alignment horizontal="center" vertical="center"/>
    </xf>
    <xf numFmtId="168" fontId="23" fillId="0" borderId="15" xfId="0" applyNumberFormat="1" applyFont="1" applyBorder="1" applyAlignment="1">
      <alignment horizontal="center" vertical="center"/>
    </xf>
    <xf numFmtId="168" fontId="0" fillId="3" borderId="0" xfId="0" applyNumberFormat="1" applyFill="1" applyAlignment="1">
      <alignment horizontal="center" vertical="center"/>
    </xf>
    <xf numFmtId="44" fontId="12" fillId="0" borderId="10" xfId="3" applyFont="1" applyBorder="1" applyAlignment="1">
      <alignment horizontal="center" vertical="center"/>
    </xf>
    <xf numFmtId="44" fontId="12" fillId="0" borderId="11" xfId="3" applyFont="1" applyBorder="1" applyAlignment="1">
      <alignment horizontal="center" vertical="center"/>
    </xf>
    <xf numFmtId="44" fontId="12" fillId="0" borderId="29" xfId="3" applyFont="1" applyFill="1" applyBorder="1" applyAlignment="1">
      <alignment horizontal="center" vertical="center"/>
    </xf>
    <xf numFmtId="44" fontId="12" fillId="0" borderId="25" xfId="3" applyFont="1" applyFill="1" applyBorder="1" applyAlignment="1">
      <alignment horizontal="center" vertical="center"/>
    </xf>
    <xf numFmtId="0" fontId="10" fillId="6" borderId="44" xfId="0" applyFont="1" applyFill="1" applyBorder="1" applyAlignment="1">
      <alignment horizontal="center" vertical="center" wrapText="1"/>
    </xf>
    <xf numFmtId="0" fontId="10" fillId="6" borderId="45" xfId="0" applyFont="1" applyFill="1" applyBorder="1" applyAlignment="1">
      <alignment horizontal="center" vertical="center" wrapText="1"/>
    </xf>
    <xf numFmtId="44" fontId="12" fillId="0" borderId="46" xfId="3" applyFont="1" applyBorder="1" applyAlignment="1">
      <alignment horizontal="center" vertical="center"/>
    </xf>
    <xf numFmtId="44" fontId="12" fillId="0" borderId="12" xfId="3" applyFont="1" applyBorder="1" applyAlignment="1">
      <alignment horizontal="center" vertical="center"/>
    </xf>
    <xf numFmtId="0" fontId="11" fillId="7" borderId="49" xfId="0" applyFont="1" applyFill="1" applyBorder="1" applyAlignment="1">
      <alignment vertical="center" wrapText="1"/>
    </xf>
    <xf numFmtId="164" fontId="11" fillId="7" borderId="50" xfId="0" applyNumberFormat="1" applyFont="1" applyFill="1" applyBorder="1" applyAlignment="1">
      <alignment horizontal="center" vertical="center" wrapText="1"/>
    </xf>
    <xf numFmtId="10" fontId="11" fillId="7" borderId="7" xfId="0" applyNumberFormat="1" applyFont="1" applyFill="1" applyBorder="1" applyAlignment="1">
      <alignment horizontal="center" vertical="center" wrapText="1"/>
    </xf>
    <xf numFmtId="166" fontId="11" fillId="8" borderId="45" xfId="0" applyNumberFormat="1" applyFont="1" applyFill="1" applyBorder="1" applyAlignment="1">
      <alignment horizontal="center" vertical="center" wrapText="1"/>
    </xf>
    <xf numFmtId="0" fontId="6" fillId="4" borderId="14" xfId="0" applyFont="1" applyFill="1" applyBorder="1" applyAlignment="1">
      <alignment horizontal="left" vertical="center"/>
    </xf>
    <xf numFmtId="0" fontId="6" fillId="4" borderId="15" xfId="0" applyFont="1" applyFill="1" applyBorder="1" applyAlignment="1">
      <alignment horizontal="left" vertical="center"/>
    </xf>
    <xf numFmtId="0" fontId="6" fillId="4" borderId="16" xfId="0" applyFont="1" applyFill="1" applyBorder="1" applyAlignment="1">
      <alignment horizontal="left" vertical="center"/>
    </xf>
    <xf numFmtId="44" fontId="12" fillId="0" borderId="29" xfId="3" applyFont="1" applyBorder="1" applyAlignment="1">
      <alignment horizontal="center" vertical="center"/>
    </xf>
    <xf numFmtId="44" fontId="12" fillId="0" borderId="25" xfId="3" applyFont="1" applyBorder="1" applyAlignment="1">
      <alignment horizontal="center" vertical="center"/>
    </xf>
    <xf numFmtId="165" fontId="9" fillId="8" borderId="44" xfId="3" applyNumberFormat="1" applyFont="1" applyFill="1" applyBorder="1" applyAlignment="1">
      <alignment horizontal="right" vertical="center"/>
    </xf>
    <xf numFmtId="165" fontId="9" fillId="8" borderId="45" xfId="3" applyNumberFormat="1" applyFont="1" applyFill="1" applyBorder="1" applyAlignment="1">
      <alignment horizontal="right" vertical="center"/>
    </xf>
    <xf numFmtId="168" fontId="12" fillId="3" borderId="28" xfId="5" applyNumberFormat="1" applyFont="1" applyFill="1" applyBorder="1" applyAlignment="1">
      <alignment horizontal="center" vertical="center"/>
    </xf>
    <xf numFmtId="1" fontId="12" fillId="0" borderId="1" xfId="5" applyNumberFormat="1" applyFont="1" applyFill="1" applyBorder="1" applyAlignment="1">
      <alignment vertical="center"/>
    </xf>
    <xf numFmtId="1" fontId="12" fillId="0" borderId="33" xfId="5" applyNumberFormat="1" applyFont="1" applyFill="1" applyBorder="1" applyAlignment="1">
      <alignment horizontal="center" vertical="center"/>
    </xf>
    <xf numFmtId="44" fontId="12" fillId="3" borderId="30" xfId="5" applyNumberFormat="1" applyFont="1" applyFill="1" applyBorder="1" applyAlignment="1">
      <alignment horizontal="center" vertical="center"/>
    </xf>
    <xf numFmtId="0" fontId="13" fillId="0" borderId="33" xfId="0" applyFont="1" applyBorder="1" applyAlignment="1">
      <alignment horizontal="center" vertical="center"/>
    </xf>
    <xf numFmtId="44" fontId="12" fillId="3" borderId="1" xfId="7" applyFont="1" applyFill="1" applyBorder="1" applyAlignment="1" applyProtection="1">
      <alignment horizontal="center" vertical="center"/>
    </xf>
    <xf numFmtId="0" fontId="12" fillId="3" borderId="1" xfId="5" applyFont="1" applyFill="1" applyBorder="1" applyAlignment="1">
      <alignment horizontal="center" vertical="center"/>
    </xf>
    <xf numFmtId="0" fontId="9" fillId="8" borderId="32" xfId="0" applyFont="1" applyFill="1" applyBorder="1" applyAlignment="1">
      <alignment vertical="center" wrapText="1"/>
    </xf>
    <xf numFmtId="0" fontId="9" fillId="8" borderId="32" xfId="0" applyFont="1" applyFill="1" applyBorder="1" applyAlignment="1">
      <alignment horizontal="center" vertical="center"/>
    </xf>
    <xf numFmtId="1" fontId="9" fillId="8" borderId="32" xfId="0" applyNumberFormat="1" applyFont="1" applyFill="1" applyBorder="1" applyAlignment="1">
      <alignment horizontal="center" vertical="center"/>
    </xf>
    <xf numFmtId="165" fontId="11" fillId="8" borderId="35" xfId="3" applyNumberFormat="1" applyFont="1" applyFill="1" applyBorder="1" applyAlignment="1">
      <alignment vertical="center" wrapText="1"/>
    </xf>
    <xf numFmtId="44" fontId="0" fillId="0" borderId="0" xfId="0" applyNumberFormat="1" applyAlignment="1">
      <alignment vertical="center"/>
    </xf>
    <xf numFmtId="0" fontId="27" fillId="0" borderId="33" xfId="5" applyFont="1" applyFill="1" applyBorder="1" applyAlignment="1">
      <alignment horizontal="left" vertical="top" wrapText="1"/>
    </xf>
    <xf numFmtId="0" fontId="8" fillId="0" borderId="27" xfId="5" applyFont="1" applyFill="1" applyBorder="1" applyAlignment="1">
      <alignment horizontal="center" vertical="center" wrapText="1"/>
    </xf>
    <xf numFmtId="0" fontId="12" fillId="3" borderId="31" xfId="5" applyFont="1" applyFill="1" applyBorder="1" applyAlignment="1">
      <alignment horizontal="center" vertical="center"/>
    </xf>
    <xf numFmtId="0" fontId="9" fillId="0" borderId="1" xfId="0" applyFont="1" applyBorder="1" applyAlignment="1">
      <alignment horizontal="left" wrapText="1"/>
    </xf>
    <xf numFmtId="0" fontId="28" fillId="0" borderId="52" xfId="5" applyFont="1" applyFill="1" applyBorder="1" applyAlignment="1">
      <alignment horizontal="center" vertical="center" wrapText="1"/>
    </xf>
    <xf numFmtId="0" fontId="12" fillId="3" borderId="27" xfId="5" applyFont="1" applyFill="1" applyBorder="1" applyAlignment="1">
      <alignment horizontal="center" vertical="center"/>
    </xf>
    <xf numFmtId="0" fontId="9" fillId="3" borderId="1" xfId="0" applyFont="1" applyFill="1" applyBorder="1" applyAlignment="1">
      <alignment vertical="center"/>
    </xf>
    <xf numFmtId="0" fontId="13" fillId="0" borderId="10" xfId="0" applyFont="1" applyBorder="1" applyAlignment="1">
      <alignment vertical="center"/>
    </xf>
    <xf numFmtId="0" fontId="13" fillId="0" borderId="1" xfId="0" applyFont="1" applyBorder="1" applyAlignment="1">
      <alignment vertical="center"/>
    </xf>
    <xf numFmtId="0" fontId="20" fillId="0" borderId="32" xfId="0" applyFont="1" applyBorder="1" applyAlignment="1">
      <alignment horizontal="center" vertical="center"/>
    </xf>
    <xf numFmtId="44" fontId="12" fillId="0" borderId="1" xfId="7" applyFont="1" applyFill="1" applyBorder="1" applyAlignment="1" applyProtection="1">
      <alignment horizontal="center" vertical="center"/>
    </xf>
    <xf numFmtId="1" fontId="12" fillId="3" borderId="1" xfId="5" applyNumberFormat="1" applyFont="1" applyFill="1" applyBorder="1" applyAlignment="1">
      <alignment horizontal="center" vertical="center"/>
    </xf>
    <xf numFmtId="1" fontId="12" fillId="3" borderId="32" xfId="5" applyNumberFormat="1" applyFont="1" applyFill="1" applyBorder="1" applyAlignment="1">
      <alignment horizontal="center" vertical="center"/>
    </xf>
    <xf numFmtId="9" fontId="12" fillId="3" borderId="1" xfId="6" applyFont="1" applyFill="1" applyBorder="1" applyAlignment="1">
      <alignment horizontal="center" vertical="center"/>
    </xf>
    <xf numFmtId="41" fontId="12" fillId="3" borderId="1" xfId="5" applyNumberFormat="1" applyFont="1" applyFill="1" applyBorder="1" applyAlignment="1">
      <alignment horizontal="center" vertical="center"/>
    </xf>
    <xf numFmtId="168" fontId="12" fillId="3" borderId="1" xfId="5" applyNumberFormat="1" applyFont="1" applyFill="1" applyBorder="1" applyAlignment="1">
      <alignment horizontal="center" vertical="center"/>
    </xf>
    <xf numFmtId="9" fontId="12" fillId="0" borderId="1" xfId="6" applyFont="1" applyFill="1" applyBorder="1" applyAlignment="1">
      <alignment horizontal="center" vertical="center"/>
    </xf>
    <xf numFmtId="0" fontId="12" fillId="3" borderId="30" xfId="5" applyFont="1" applyFill="1" applyBorder="1" applyAlignment="1">
      <alignment horizontal="center" vertical="center"/>
    </xf>
    <xf numFmtId="9" fontId="12" fillId="3" borderId="31" xfId="6" applyFont="1" applyFill="1" applyBorder="1" applyAlignment="1">
      <alignment horizontal="center" vertical="center"/>
    </xf>
    <xf numFmtId="168" fontId="13" fillId="0" borderId="31" xfId="3" applyNumberFormat="1" applyFont="1" applyBorder="1" applyAlignment="1">
      <alignment horizontal="center" vertical="center"/>
    </xf>
    <xf numFmtId="44" fontId="12" fillId="3" borderId="31" xfId="7" applyFont="1" applyFill="1" applyBorder="1" applyAlignment="1" applyProtection="1">
      <alignment horizontal="center" vertical="center"/>
    </xf>
    <xf numFmtId="0" fontId="12" fillId="3" borderId="34" xfId="5" applyFont="1" applyFill="1" applyBorder="1" applyAlignment="1">
      <alignment horizontal="center" vertical="center"/>
    </xf>
    <xf numFmtId="1" fontId="13" fillId="0" borderId="32" xfId="0" applyNumberFormat="1" applyFont="1" applyBorder="1" applyAlignment="1">
      <alignment horizontal="center" vertical="center"/>
    </xf>
    <xf numFmtId="9" fontId="12" fillId="3" borderId="32" xfId="6" applyFont="1" applyFill="1" applyBorder="1" applyAlignment="1">
      <alignment horizontal="center" vertical="center"/>
    </xf>
    <xf numFmtId="2" fontId="12" fillId="3" borderId="28" xfId="5" applyNumberFormat="1" applyFont="1" applyFill="1" applyBorder="1" applyAlignment="1">
      <alignment horizontal="center" vertical="center"/>
    </xf>
    <xf numFmtId="44" fontId="12" fillId="3" borderId="32" xfId="7" applyFont="1" applyFill="1" applyBorder="1" applyAlignment="1" applyProtection="1">
      <alignment horizontal="center" vertical="center"/>
    </xf>
    <xf numFmtId="44" fontId="13" fillId="0" borderId="32" xfId="0" applyNumberFormat="1" applyFont="1" applyBorder="1" applyAlignment="1">
      <alignment horizontal="center" vertical="center" wrapText="1"/>
    </xf>
    <xf numFmtId="44" fontId="13" fillId="0" borderId="35" xfId="0" applyNumberFormat="1" applyFont="1" applyBorder="1" applyAlignment="1">
      <alignment horizontal="center" vertical="center" wrapText="1"/>
    </xf>
    <xf numFmtId="44" fontId="10" fillId="0" borderId="10" xfId="3" applyFont="1" applyBorder="1" applyAlignment="1">
      <alignment horizontal="center" vertical="center"/>
    </xf>
    <xf numFmtId="0" fontId="5" fillId="6" borderId="17" xfId="0" applyFont="1" applyFill="1" applyBorder="1" applyAlignment="1">
      <alignment horizontal="center" vertical="center"/>
    </xf>
    <xf numFmtId="0" fontId="5" fillId="6" borderId="20" xfId="0" applyFont="1" applyFill="1" applyBorder="1" applyAlignment="1">
      <alignment horizontal="center" vertical="center"/>
    </xf>
    <xf numFmtId="0" fontId="5" fillId="6" borderId="18" xfId="0" applyFont="1" applyFill="1" applyBorder="1" applyAlignment="1">
      <alignment horizontal="center" vertical="center"/>
    </xf>
    <xf numFmtId="1" fontId="10" fillId="3" borderId="7" xfId="5" applyNumberFormat="1" applyFont="1" applyFill="1" applyBorder="1" applyAlignment="1">
      <alignment horizontal="center" vertical="center" wrapText="1"/>
    </xf>
    <xf numFmtId="1" fontId="10" fillId="3" borderId="31" xfId="5" applyNumberFormat="1" applyFont="1" applyFill="1" applyBorder="1" applyAlignment="1">
      <alignment horizontal="center" vertical="center" wrapText="1"/>
    </xf>
    <xf numFmtId="1" fontId="10" fillId="0" borderId="7" xfId="5" applyNumberFormat="1" applyFont="1" applyFill="1" applyBorder="1" applyAlignment="1">
      <alignment horizontal="center" vertical="center" wrapText="1"/>
    </xf>
    <xf numFmtId="1" fontId="10" fillId="0" borderId="37" xfId="5" applyNumberFormat="1" applyFont="1" applyFill="1" applyBorder="1" applyAlignment="1">
      <alignment horizontal="center" vertical="center" wrapText="1"/>
    </xf>
    <xf numFmtId="1" fontId="10" fillId="0" borderId="31" xfId="5" applyNumberFormat="1" applyFont="1" applyFill="1" applyBorder="1" applyAlignment="1">
      <alignment horizontal="center" vertical="center" wrapText="1"/>
    </xf>
    <xf numFmtId="1" fontId="10" fillId="3" borderId="37" xfId="5" applyNumberFormat="1" applyFont="1" applyFill="1" applyBorder="1" applyAlignment="1">
      <alignment horizontal="center" vertical="center" wrapText="1"/>
    </xf>
    <xf numFmtId="0" fontId="19" fillId="8" borderId="44" xfId="0" applyFont="1" applyFill="1" applyBorder="1" applyAlignment="1">
      <alignment horizontal="center" vertical="center"/>
    </xf>
    <xf numFmtId="0" fontId="19" fillId="8" borderId="51" xfId="0" applyFont="1" applyFill="1" applyBorder="1" applyAlignment="1">
      <alignment horizontal="center" vertical="center"/>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9" fillId="0" borderId="31" xfId="0" applyFont="1" applyBorder="1" applyAlignment="1">
      <alignment horizontal="center" vertical="center" wrapText="1"/>
    </xf>
    <xf numFmtId="0" fontId="9" fillId="0" borderId="7" xfId="0" applyFont="1" applyBorder="1" applyAlignment="1">
      <alignment horizontal="center" vertical="center"/>
    </xf>
    <xf numFmtId="0" fontId="9" fillId="0" borderId="31" xfId="0" applyFont="1" applyBorder="1" applyAlignment="1">
      <alignment horizontal="center" vertical="center"/>
    </xf>
    <xf numFmtId="1" fontId="10" fillId="3" borderId="7" xfId="5" applyNumberFormat="1" applyFont="1" applyFill="1" applyBorder="1" applyAlignment="1">
      <alignment horizontal="center" vertical="center"/>
    </xf>
    <xf numFmtId="1" fontId="10" fillId="3" borderId="37" xfId="5" applyNumberFormat="1" applyFont="1" applyFill="1" applyBorder="1" applyAlignment="1">
      <alignment horizontal="center" vertical="center"/>
    </xf>
    <xf numFmtId="1" fontId="10" fillId="3" borderId="31" xfId="5" applyNumberFormat="1" applyFont="1" applyFill="1" applyBorder="1" applyAlignment="1">
      <alignment horizontal="center" vertical="center"/>
    </xf>
    <xf numFmtId="0" fontId="25" fillId="3" borderId="7" xfId="0" applyFont="1" applyFill="1" applyBorder="1" applyAlignment="1">
      <alignment horizontal="center" vertical="center" wrapText="1"/>
    </xf>
    <xf numFmtId="0" fontId="25" fillId="3" borderId="37" xfId="0" applyFont="1" applyFill="1" applyBorder="1" applyAlignment="1">
      <alignment horizontal="center" vertical="center" wrapText="1"/>
    </xf>
    <xf numFmtId="0" fontId="25" fillId="3" borderId="31" xfId="0" applyFont="1" applyFill="1" applyBorder="1" applyAlignment="1">
      <alignment horizontal="center" vertical="center" wrapText="1"/>
    </xf>
    <xf numFmtId="1" fontId="10" fillId="0" borderId="7" xfId="5" applyNumberFormat="1" applyFont="1" applyFill="1" applyBorder="1" applyAlignment="1">
      <alignment horizontal="center" vertical="center"/>
    </xf>
    <xf numFmtId="1" fontId="10" fillId="0" borderId="31" xfId="5" applyNumberFormat="1" applyFont="1" applyFill="1" applyBorder="1" applyAlignment="1">
      <alignment horizontal="center" vertical="center"/>
    </xf>
    <xf numFmtId="0" fontId="11" fillId="7" borderId="47" xfId="0" applyFont="1" applyFill="1" applyBorder="1" applyAlignment="1">
      <alignment horizontal="right" vertical="center"/>
    </xf>
    <xf numFmtId="0" fontId="11" fillId="7" borderId="48" xfId="0" applyFont="1" applyFill="1" applyBorder="1" applyAlignment="1">
      <alignment horizontal="right" vertical="center"/>
    </xf>
    <xf numFmtId="0" fontId="11" fillId="7" borderId="49" xfId="0" applyFont="1" applyFill="1" applyBorder="1" applyAlignment="1">
      <alignment horizontal="right" vertical="center"/>
    </xf>
    <xf numFmtId="0" fontId="9" fillId="0" borderId="37" xfId="0" applyFont="1" applyBorder="1" applyAlignment="1">
      <alignment horizontal="center" vertical="center"/>
    </xf>
    <xf numFmtId="1" fontId="10" fillId="3" borderId="1" xfId="5" applyNumberFormat="1" applyFont="1" applyFill="1" applyBorder="1" applyAlignment="1">
      <alignment horizontal="center" vertical="center" wrapText="1"/>
    </xf>
    <xf numFmtId="0" fontId="9" fillId="0" borderId="1" xfId="0" applyFont="1" applyBorder="1" applyAlignment="1">
      <alignment horizontal="center" vertical="center" wrapText="1"/>
    </xf>
  </cellXfs>
  <cellStyles count="9">
    <cellStyle name="Currency" xfId="3" builtinId="4"/>
    <cellStyle name="Currency 2" xfId="2" xr:uid="{00000000-0005-0000-0000-000001000000}"/>
    <cellStyle name="Currency 3" xfId="7" xr:uid="{00000000-0005-0000-0000-000002000000}"/>
    <cellStyle name="Normal" xfId="0" builtinId="0"/>
    <cellStyle name="Normal 2 3" xfId="4" xr:uid="{00000000-0005-0000-0000-000004000000}"/>
    <cellStyle name="Note" xfId="5" builtinId="10"/>
    <cellStyle name="Percent" xfId="8" builtinId="5"/>
    <cellStyle name="Percent 2" xfId="6" xr:uid="{00000000-0005-0000-0000-000007000000}"/>
    <cellStyle name="Style 1" xfId="1" xr:uid="{00000000-0005-0000-0000-000008000000}"/>
  </cellStyles>
  <dxfs count="0"/>
  <tableStyles count="0" defaultTableStyle="TableStyleMedium9" defaultPivotStyle="PivotStyleLight16"/>
  <colors>
    <mruColors>
      <color rgb="FF00A6A5"/>
      <color rgb="FF00C8C3"/>
      <color rgb="FF00A8A4"/>
      <color rgb="FF4A4C4C"/>
      <color rgb="FF013554"/>
      <color rgb="FF00496A"/>
      <color rgb="FF001521"/>
      <color rgb="FF00DED9"/>
      <color rgb="FF00BCB8"/>
      <color rgb="FF00DAD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0</xdr:col>
      <xdr:colOff>457200</xdr:colOff>
      <xdr:row>1</xdr:row>
      <xdr:rowOff>0</xdr:rowOff>
    </xdr:from>
    <xdr:ext cx="184731" cy="264560"/>
    <xdr:sp macro="" textlink="">
      <xdr:nvSpPr>
        <xdr:cNvPr id="4" name="TextBox 3">
          <a:extLst>
            <a:ext uri="{FF2B5EF4-FFF2-40B4-BE49-F238E27FC236}">
              <a16:creationId xmlns:a16="http://schemas.microsoft.com/office/drawing/2014/main" id="{00000000-0008-0000-0100-000004000000}"/>
            </a:ext>
          </a:extLst>
        </xdr:cNvPr>
        <xdr:cNvSpPr txBox="1"/>
      </xdr:nvSpPr>
      <xdr:spPr>
        <a:xfrm>
          <a:off x="457200" y="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457200</xdr:colOff>
      <xdr:row>1</xdr:row>
      <xdr:rowOff>0</xdr:rowOff>
    </xdr:from>
    <xdr:ext cx="184731" cy="264560"/>
    <xdr:sp macro="" textlink="">
      <xdr:nvSpPr>
        <xdr:cNvPr id="3" name="TextBox 2">
          <a:extLst>
            <a:ext uri="{FF2B5EF4-FFF2-40B4-BE49-F238E27FC236}">
              <a16:creationId xmlns:a16="http://schemas.microsoft.com/office/drawing/2014/main" id="{00000000-0008-0000-0100-000003000000}"/>
            </a:ext>
          </a:extLst>
        </xdr:cNvPr>
        <xdr:cNvSpPr txBox="1"/>
      </xdr:nvSpPr>
      <xdr:spPr>
        <a:xfrm>
          <a:off x="457200" y="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1</xdr:row>
      <xdr:rowOff>0</xdr:rowOff>
    </xdr:from>
    <xdr:ext cx="184731" cy="264560"/>
    <xdr:sp macro="" textlink="">
      <xdr:nvSpPr>
        <xdr:cNvPr id="5" name="TextBox 4">
          <a:extLst>
            <a:ext uri="{FF2B5EF4-FFF2-40B4-BE49-F238E27FC236}">
              <a16:creationId xmlns:a16="http://schemas.microsoft.com/office/drawing/2014/main" id="{77412386-664B-4E9A-89CC-75563F337391}"/>
            </a:ext>
          </a:extLst>
        </xdr:cNvPr>
        <xdr:cNvSpPr txBox="1"/>
      </xdr:nvSpPr>
      <xdr:spPr>
        <a:xfrm>
          <a:off x="1466850" y="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twoCellAnchor editAs="oneCell">
    <xdr:from>
      <xdr:col>2</xdr:col>
      <xdr:colOff>394448</xdr:colOff>
      <xdr:row>94</xdr:row>
      <xdr:rowOff>421341</xdr:rowOff>
    </xdr:from>
    <xdr:to>
      <xdr:col>2</xdr:col>
      <xdr:colOff>896472</xdr:colOff>
      <xdr:row>94</xdr:row>
      <xdr:rowOff>781947</xdr:rowOff>
    </xdr:to>
    <xdr:pic>
      <xdr:nvPicPr>
        <xdr:cNvPr id="6" name="Picture 5">
          <a:extLst>
            <a:ext uri="{FF2B5EF4-FFF2-40B4-BE49-F238E27FC236}">
              <a16:creationId xmlns:a16="http://schemas.microsoft.com/office/drawing/2014/main" id="{91137465-1DA1-2A1F-2001-A42C3DD02F1C}"/>
            </a:ext>
          </a:extLst>
        </xdr:cNvPr>
        <xdr:cNvPicPr>
          <a:picLocks noChangeAspect="1"/>
        </xdr:cNvPicPr>
      </xdr:nvPicPr>
      <xdr:blipFill>
        <a:blip xmlns:r="http://schemas.openxmlformats.org/officeDocument/2006/relationships" r:embed="rId1"/>
        <a:stretch>
          <a:fillRect/>
        </a:stretch>
      </xdr:blipFill>
      <xdr:spPr>
        <a:xfrm>
          <a:off x="2832848" y="29126329"/>
          <a:ext cx="502024" cy="352986"/>
        </a:xfrm>
        <a:prstGeom prst="rect">
          <a:avLst/>
        </a:prstGeom>
      </xdr:spPr>
    </xdr:pic>
    <xdr:clientData/>
  </xdr:twoCellAnchor>
  <xdr:oneCellAnchor>
    <xdr:from>
      <xdr:col>2</xdr:col>
      <xdr:colOff>62751</xdr:colOff>
      <xdr:row>255</xdr:row>
      <xdr:rowOff>815786</xdr:rowOff>
    </xdr:from>
    <xdr:ext cx="1177330" cy="1080000"/>
    <xdr:pic>
      <xdr:nvPicPr>
        <xdr:cNvPr id="9" name="Picture 8">
          <a:extLst>
            <a:ext uri="{FF2B5EF4-FFF2-40B4-BE49-F238E27FC236}">
              <a16:creationId xmlns:a16="http://schemas.microsoft.com/office/drawing/2014/main" id="{3B24BF37-A7E1-4E79-8A26-66502A080404}"/>
            </a:ext>
          </a:extLst>
        </xdr:cNvPr>
        <xdr:cNvPicPr>
          <a:picLocks noChangeAspect="1"/>
        </xdr:cNvPicPr>
      </xdr:nvPicPr>
      <xdr:blipFill>
        <a:blip xmlns:r="http://schemas.openxmlformats.org/officeDocument/2006/relationships" r:embed="rId2"/>
        <a:stretch>
          <a:fillRect/>
        </a:stretch>
      </xdr:blipFill>
      <xdr:spPr>
        <a:xfrm>
          <a:off x="2501151" y="77992939"/>
          <a:ext cx="1177330" cy="1080000"/>
        </a:xfrm>
        <a:prstGeom prst="rect">
          <a:avLst/>
        </a:prstGeom>
      </xdr:spPr>
    </xdr:pic>
    <xdr:clientData/>
  </xdr:oneCellAnchor>
</xdr:wsDr>
</file>

<file path=xl/theme/_rels/theme1.x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Integral">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Integral">
      <a:majorFont>
        <a:latin typeface="Tw Cen MT Condensed" panose="020B0606020104020203"/>
        <a:ea typeface=""/>
        <a:cs typeface=""/>
        <a:font script="Grek" typeface="Calibri"/>
        <a:font script="Cyrl" typeface="Calibri"/>
        <a:font script="Jpan" typeface="メイリオ"/>
        <a:font script="Hang" typeface="HY얕은샘물M"/>
        <a:font script="Hans" typeface="华文仿宋"/>
        <a:font script="Hant" typeface="微軟正黑體"/>
        <a:font script="Arab" typeface="Arial"/>
        <a:font script="Hebr" typeface="Levenim MT"/>
        <a:font script="Thai" typeface="Freesia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Tw Cen MT" panose="020B0602020104020603"/>
        <a:ea typeface=""/>
        <a:cs typeface=""/>
        <a:font script="Grek" typeface="Calibri"/>
        <a:font script="Cyrl" typeface="Calibri"/>
        <a:font script="Jpan" typeface="メイリオ"/>
        <a:font script="Hang" typeface="HY얕은샘물M"/>
        <a:font script="Hans" typeface="华文仿宋"/>
        <a:font script="Hant" typeface="微軟正黑體"/>
        <a:font script="Arab" typeface="Arial"/>
        <a:font script="Hebr" typeface="Levenim MT"/>
        <a:font script="Thai" typeface="Freesia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Integral">
      <a:fillStyleLst>
        <a:solidFill>
          <a:schemeClr val="phClr"/>
        </a:solidFill>
        <a:gradFill rotWithShape="1">
          <a:gsLst>
            <a:gs pos="0">
              <a:schemeClr val="phClr">
                <a:tint val="83000"/>
                <a:satMod val="100000"/>
                <a:lumMod val="100000"/>
              </a:schemeClr>
            </a:gs>
            <a:gs pos="100000">
              <a:schemeClr val="phClr">
                <a:tint val="61000"/>
                <a:satMod val="150000"/>
                <a:lumMod val="100000"/>
              </a:schemeClr>
            </a:gs>
          </a:gsLst>
          <a:path path="circle">
            <a:fillToRect l="100000" t="100000" r="100000" b="100000"/>
          </a:path>
        </a:gradFill>
        <a:gradFill rotWithShape="1">
          <a:gsLst>
            <a:gs pos="0">
              <a:schemeClr val="phClr">
                <a:tint val="100000"/>
                <a:shade val="85000"/>
                <a:satMod val="100000"/>
                <a:lumMod val="100000"/>
              </a:schemeClr>
            </a:gs>
            <a:gs pos="100000">
              <a:schemeClr val="phClr">
                <a:tint val="90000"/>
                <a:shade val="100000"/>
                <a:satMod val="150000"/>
                <a:lumMod val="100000"/>
              </a:schemeClr>
            </a:gs>
          </a:gsLst>
          <a:path path="circle">
            <a:fillToRect l="100000" t="100000" r="100000" b="100000"/>
          </a:path>
        </a:gradFill>
      </a:fillStyleLst>
      <a:lnStyleLst>
        <a:ln w="9525" cap="flat" cmpd="sng" algn="ctr">
          <a:solidFill>
            <a:schemeClr val="phClr"/>
          </a:solidFill>
          <a:prstDash val="solid"/>
        </a:ln>
        <a:ln w="15875"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outerShdw blurRad="50800" dist="12700" dir="5400000" algn="ctr" rotWithShape="0">
              <a:srgbClr val="000000">
                <a:alpha val="50000"/>
              </a:srgbClr>
            </a:outerShdw>
          </a:effectLst>
        </a:effectStyle>
        <a:effectStyle>
          <a:effectLst>
            <a:outerShdw blurRad="76200" dist="25400" dir="5400000" algn="ctr" rotWithShape="0">
              <a:srgbClr val="000000">
                <a:alpha val="60000"/>
              </a:srgbClr>
            </a:outerShdw>
          </a:effectLst>
          <a:scene3d>
            <a:camera prst="orthographicFront">
              <a:rot lat="0" lon="0" rev="0"/>
            </a:camera>
            <a:lightRig rig="flat" dir="t">
              <a:rot lat="0" lon="0" rev="3600000"/>
            </a:lightRig>
          </a:scene3d>
          <a:sp3d contourW="12700" prstMaterial="flat">
            <a:bevelT w="38100" h="44450" prst="angle"/>
            <a:contourClr>
              <a:schemeClr val="phClr">
                <a:shade val="35000"/>
                <a:satMod val="160000"/>
              </a:schemeClr>
            </a:contourClr>
          </a:sp3d>
        </a:effectStyle>
      </a:effectStyleLst>
      <a:bgFillStyleLst>
        <a:solidFill>
          <a:schemeClr val="phClr"/>
        </a:solidFill>
        <a:solidFill>
          <a:schemeClr val="phClr">
            <a:tint val="95000"/>
            <a:shade val="85000"/>
            <a:satMod val="125000"/>
          </a:schemeClr>
        </a:solidFill>
        <a:blipFill rotWithShape="1">
          <a:blip xmlns:r="http://schemas.openxmlformats.org/officeDocument/2006/relationships" r:embed="rId1">
            <a:duotone>
              <a:schemeClr val="phClr">
                <a:tint val="95000"/>
                <a:shade val="74000"/>
                <a:satMod val="230000"/>
              </a:schemeClr>
              <a:schemeClr val="phClr">
                <a:tint val="92000"/>
                <a:shade val="69000"/>
                <a:satMod val="250000"/>
              </a:schemeClr>
            </a:duotone>
          </a:blip>
          <a:tile tx="0" ty="0" sx="40000" sy="40000" flip="none" algn="tl"/>
        </a:blipFill>
      </a:bgFillStyleLst>
    </a:fmtScheme>
  </a:themeElements>
  <a:objectDefaults/>
  <a:extraClrSchemeLst/>
  <a:extLst>
    <a:ext uri="{05A4C25C-085E-4340-85A3-A5531E510DB2}">
      <thm15:themeFamily xmlns:thm15="http://schemas.microsoft.com/office/thememl/2012/main" name="Integral" id="{3577F8C9-A904-41D8-97D2-FD898F53F20E}" vid="{682D6EBE-8D36-4FF2-9DB3-F3D8D7B6715D}"/>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70C0"/>
    <pageSetUpPr fitToPage="1"/>
  </sheetPr>
  <dimension ref="A1:T460"/>
  <sheetViews>
    <sheetView showGridLines="0" tabSelected="1" view="pageBreakPreview" topLeftCell="A2" zoomScale="85" zoomScaleNormal="85" zoomScaleSheetLayoutView="85" workbookViewId="0">
      <selection activeCell="B4" sqref="B4"/>
    </sheetView>
  </sheetViews>
  <sheetFormatPr defaultColWidth="9" defaultRowHeight="13.8" x14ac:dyDescent="0.25"/>
  <cols>
    <col min="1" max="2" width="16" style="4" customWidth="1"/>
    <col min="3" max="3" width="16.8984375" style="4" customWidth="1"/>
    <col min="4" max="4" width="56.8984375" style="4" customWidth="1"/>
    <col min="5" max="5" width="10.59765625" style="4" customWidth="1"/>
    <col min="6" max="6" width="12.19921875" style="5" customWidth="1"/>
    <col min="7" max="7" width="11.09765625" style="5" customWidth="1"/>
    <col min="8" max="8" width="14.8984375" style="5" customWidth="1"/>
    <col min="9" max="9" width="12.09765625" style="253" customWidth="1"/>
    <col min="10" max="10" width="10" style="239" customWidth="1"/>
    <col min="11" max="11" width="12.59765625" style="4" customWidth="1"/>
    <col min="12" max="12" width="11.59765625" style="4" bestFit="1" customWidth="1"/>
    <col min="13" max="13" width="12.09765625" style="6" bestFit="1" customWidth="1"/>
    <col min="14" max="14" width="12.19921875" style="6" bestFit="1" customWidth="1"/>
    <col min="15" max="15" width="9" style="4"/>
    <col min="16" max="16" width="15.69921875" style="4" customWidth="1"/>
    <col min="17" max="17" width="18.5" style="4" customWidth="1"/>
    <col min="18" max="16384" width="9" style="4"/>
  </cols>
  <sheetData>
    <row r="1" spans="1:18" s="1" customFormat="1" ht="15" hidden="1" customHeight="1" thickTop="1" x14ac:dyDescent="0.25">
      <c r="A1" s="2"/>
      <c r="B1" s="3"/>
      <c r="C1" s="3"/>
      <c r="D1" s="3"/>
      <c r="E1" s="3"/>
      <c r="F1" s="3"/>
      <c r="G1" s="3"/>
      <c r="H1" s="3"/>
      <c r="I1" s="240"/>
      <c r="J1" s="218"/>
      <c r="K1" s="3"/>
      <c r="L1" s="3"/>
      <c r="M1" s="3"/>
      <c r="N1" s="3"/>
    </row>
    <row r="2" spans="1:18" ht="21" thickBot="1" x14ac:dyDescent="0.3">
      <c r="A2" s="314" t="s">
        <v>22</v>
      </c>
      <c r="B2" s="315"/>
      <c r="C2" s="315"/>
      <c r="D2" s="315"/>
      <c r="E2" s="315"/>
      <c r="F2" s="315"/>
      <c r="G2" s="315"/>
      <c r="H2" s="315"/>
      <c r="I2" s="315"/>
      <c r="J2" s="315"/>
      <c r="K2" s="315"/>
      <c r="L2" s="315"/>
      <c r="M2" s="315"/>
      <c r="N2" s="316"/>
    </row>
    <row r="3" spans="1:18" ht="18" x14ac:dyDescent="0.25">
      <c r="A3" s="11" t="s">
        <v>20</v>
      </c>
      <c r="B3" s="12" t="s">
        <v>480</v>
      </c>
      <c r="C3" s="128"/>
      <c r="D3" s="216"/>
      <c r="E3" s="12"/>
      <c r="F3" s="13"/>
      <c r="G3" s="13"/>
      <c r="H3" s="12"/>
      <c r="I3" s="241"/>
      <c r="J3" s="219"/>
      <c r="K3" s="12"/>
      <c r="L3" s="12"/>
      <c r="M3" s="9"/>
      <c r="N3" s="14"/>
    </row>
    <row r="4" spans="1:18" ht="18" customHeight="1" x14ac:dyDescent="0.25">
      <c r="A4" s="11" t="s">
        <v>26</v>
      </c>
      <c r="B4" s="151" t="s">
        <v>359</v>
      </c>
      <c r="C4" s="128"/>
      <c r="D4" s="129"/>
      <c r="E4" s="15"/>
      <c r="F4" s="16"/>
      <c r="G4" s="16"/>
      <c r="H4" s="16"/>
      <c r="I4" s="242"/>
      <c r="J4" s="220"/>
      <c r="K4" s="12"/>
      <c r="L4" s="12"/>
      <c r="M4" s="9"/>
      <c r="N4" s="14"/>
    </row>
    <row r="5" spans="1:18" ht="18" customHeight="1" x14ac:dyDescent="0.25">
      <c r="A5" s="17" t="s">
        <v>16</v>
      </c>
      <c r="B5" s="10" t="s">
        <v>51</v>
      </c>
      <c r="C5" s="131"/>
      <c r="D5" s="129"/>
      <c r="E5" s="18"/>
      <c r="F5" s="18"/>
      <c r="G5" s="16"/>
      <c r="H5" s="16"/>
      <c r="I5" s="242"/>
      <c r="J5" s="220"/>
      <c r="K5" s="132"/>
      <c r="L5" s="132"/>
      <c r="M5" s="133"/>
      <c r="N5" s="19"/>
    </row>
    <row r="6" spans="1:18" ht="18" customHeight="1" x14ac:dyDescent="0.25">
      <c r="A6" s="17"/>
      <c r="B6" s="131"/>
      <c r="C6" s="131"/>
      <c r="D6" s="130"/>
      <c r="E6" s="18"/>
      <c r="F6" s="18"/>
      <c r="G6" s="16"/>
      <c r="H6" s="16"/>
      <c r="I6" s="242"/>
      <c r="J6" s="220"/>
      <c r="K6" s="132"/>
      <c r="L6" s="132"/>
      <c r="M6" s="133"/>
      <c r="N6" s="19"/>
    </row>
    <row r="7" spans="1:18" ht="18" customHeight="1" x14ac:dyDescent="0.25">
      <c r="A7" s="17"/>
      <c r="B7" s="131"/>
      <c r="C7" s="131"/>
      <c r="D7" s="130"/>
      <c r="E7" s="18"/>
      <c r="F7" s="18"/>
      <c r="G7" s="16"/>
      <c r="H7" s="16"/>
      <c r="I7" s="242"/>
      <c r="J7" s="220"/>
      <c r="K7" s="132"/>
      <c r="L7" s="132"/>
      <c r="M7" s="133"/>
      <c r="N7" s="19"/>
    </row>
    <row r="8" spans="1:18" ht="6.75" customHeight="1" x14ac:dyDescent="0.25">
      <c r="A8" s="17"/>
      <c r="B8" s="131"/>
      <c r="C8" s="131"/>
      <c r="D8" s="18"/>
      <c r="E8" s="18"/>
      <c r="F8" s="18"/>
      <c r="G8" s="16"/>
      <c r="H8" s="16"/>
      <c r="I8" s="242"/>
      <c r="J8" s="220"/>
      <c r="K8" s="132"/>
      <c r="L8" s="132"/>
      <c r="M8" s="133"/>
      <c r="N8" s="19"/>
    </row>
    <row r="9" spans="1:18" ht="18.600000000000001" thickBot="1" x14ac:dyDescent="0.3">
      <c r="A9" s="20"/>
      <c r="B9" s="128"/>
      <c r="C9" s="128"/>
      <c r="D9" s="21"/>
      <c r="E9" s="15"/>
      <c r="F9" s="16"/>
      <c r="G9" s="16"/>
      <c r="H9" s="16"/>
      <c r="I9" s="242"/>
      <c r="J9" s="220"/>
      <c r="K9" s="12"/>
      <c r="L9" s="12"/>
      <c r="M9" s="9" t="s">
        <v>13</v>
      </c>
      <c r="N9" s="217">
        <f ca="1">TODAY()</f>
        <v>46173</v>
      </c>
    </row>
    <row r="10" spans="1:18" s="1" customFormat="1" ht="59.4" customHeight="1" thickTop="1" x14ac:dyDescent="0.25">
      <c r="A10" s="147" t="s">
        <v>6</v>
      </c>
      <c r="B10" s="148" t="s">
        <v>30</v>
      </c>
      <c r="C10" s="148" t="s">
        <v>31</v>
      </c>
      <c r="D10" s="149" t="s">
        <v>0</v>
      </c>
      <c r="E10" s="149" t="s">
        <v>2</v>
      </c>
      <c r="F10" s="149" t="s">
        <v>1</v>
      </c>
      <c r="G10" s="149" t="s">
        <v>17</v>
      </c>
      <c r="H10" s="149" t="s">
        <v>18</v>
      </c>
      <c r="I10" s="243" t="s">
        <v>32</v>
      </c>
      <c r="J10" s="221" t="s">
        <v>33</v>
      </c>
      <c r="K10" s="149" t="s">
        <v>23</v>
      </c>
      <c r="L10" s="149" t="s">
        <v>24</v>
      </c>
      <c r="M10" s="149" t="s">
        <v>5</v>
      </c>
      <c r="N10" s="150" t="s">
        <v>9</v>
      </c>
      <c r="O10" s="4"/>
      <c r="P10" s="4"/>
      <c r="Q10" s="4"/>
      <c r="R10" s="4"/>
    </row>
    <row r="11" spans="1:18" s="8" customFormat="1" ht="18" customHeight="1" x14ac:dyDescent="0.25">
      <c r="A11" s="48"/>
      <c r="B11" s="49"/>
      <c r="C11" s="49"/>
      <c r="D11" s="50"/>
      <c r="E11" s="51" t="s">
        <v>15</v>
      </c>
      <c r="F11" s="52"/>
      <c r="G11" s="52"/>
      <c r="H11" s="52"/>
      <c r="I11" s="244"/>
      <c r="J11" s="222"/>
      <c r="K11" s="52"/>
      <c r="L11" s="52"/>
      <c r="M11" s="53"/>
      <c r="N11" s="54"/>
      <c r="O11" s="4"/>
      <c r="P11" s="4"/>
      <c r="Q11" s="4"/>
      <c r="R11" s="4"/>
    </row>
    <row r="12" spans="1:18" ht="18" customHeight="1" x14ac:dyDescent="0.25">
      <c r="A12" s="22">
        <f>IF(G12&lt;&gt;"",1+MAX($A$2:A11),"")</f>
        <v>1</v>
      </c>
      <c r="B12" s="23"/>
      <c r="C12" s="23"/>
      <c r="D12" s="24" t="s">
        <v>52</v>
      </c>
      <c r="E12" s="25" t="s">
        <v>4</v>
      </c>
      <c r="F12" s="25">
        <v>1</v>
      </c>
      <c r="G12" s="26">
        <v>0</v>
      </c>
      <c r="H12" s="27">
        <f t="shared" ref="H12:H17" si="0">(G12*F12)+F12</f>
        <v>1</v>
      </c>
      <c r="I12" s="190">
        <v>0</v>
      </c>
      <c r="J12" s="223">
        <v>0</v>
      </c>
      <c r="K12" s="28">
        <v>0</v>
      </c>
      <c r="L12" s="28">
        <v>0</v>
      </c>
      <c r="M12" s="29">
        <v>2000</v>
      </c>
      <c r="N12" s="30">
        <f>H12*M12</f>
        <v>2000</v>
      </c>
      <c r="O12" s="7"/>
    </row>
    <row r="13" spans="1:18" ht="18" customHeight="1" x14ac:dyDescent="0.25">
      <c r="A13" s="31">
        <f>IF(G13&lt;&gt;"",1+MAX($A$2:A12),"")</f>
        <v>2</v>
      </c>
      <c r="B13" s="32"/>
      <c r="C13" s="32"/>
      <c r="D13" s="125" t="s">
        <v>53</v>
      </c>
      <c r="E13" s="25" t="s">
        <v>4</v>
      </c>
      <c r="F13" s="33">
        <v>1</v>
      </c>
      <c r="G13" s="34">
        <v>0</v>
      </c>
      <c r="H13" s="35">
        <f t="shared" si="0"/>
        <v>1</v>
      </c>
      <c r="I13" s="190">
        <v>0</v>
      </c>
      <c r="J13" s="223">
        <v>0</v>
      </c>
      <c r="K13" s="36">
        <v>0</v>
      </c>
      <c r="L13" s="36">
        <v>0</v>
      </c>
      <c r="M13" s="37">
        <v>35000</v>
      </c>
      <c r="N13" s="38">
        <f t="shared" ref="N13:N17" si="1">H13*M13</f>
        <v>35000</v>
      </c>
      <c r="O13" s="7"/>
    </row>
    <row r="14" spans="1:18" ht="18" customHeight="1" x14ac:dyDescent="0.25">
      <c r="A14" s="31">
        <f>IF(G14&lt;&gt;"",1+MAX($A$2:A13),"")</f>
        <v>3</v>
      </c>
      <c r="B14" s="32"/>
      <c r="C14" s="32"/>
      <c r="D14" s="125" t="s">
        <v>54</v>
      </c>
      <c r="E14" s="25" t="s">
        <v>4</v>
      </c>
      <c r="F14" s="33">
        <v>1</v>
      </c>
      <c r="G14" s="34">
        <v>0</v>
      </c>
      <c r="H14" s="35">
        <f t="shared" si="0"/>
        <v>1</v>
      </c>
      <c r="I14" s="190">
        <v>0</v>
      </c>
      <c r="J14" s="223">
        <v>0</v>
      </c>
      <c r="K14" s="36">
        <v>0</v>
      </c>
      <c r="L14" s="36">
        <v>0</v>
      </c>
      <c r="M14" s="37">
        <v>5000</v>
      </c>
      <c r="N14" s="38">
        <f t="shared" si="1"/>
        <v>5000</v>
      </c>
      <c r="O14" s="7"/>
    </row>
    <row r="15" spans="1:18" ht="18" customHeight="1" x14ac:dyDescent="0.25">
      <c r="A15" s="31">
        <f>IF(G15&lt;&gt;"",1+MAX($A$2:A14),"")</f>
        <v>4</v>
      </c>
      <c r="B15" s="32"/>
      <c r="C15" s="32"/>
      <c r="D15" s="125" t="s">
        <v>8</v>
      </c>
      <c r="E15" s="25" t="s">
        <v>4</v>
      </c>
      <c r="F15" s="33">
        <v>1</v>
      </c>
      <c r="G15" s="34">
        <v>0</v>
      </c>
      <c r="H15" s="35">
        <f t="shared" si="0"/>
        <v>1</v>
      </c>
      <c r="I15" s="190">
        <v>0</v>
      </c>
      <c r="J15" s="223">
        <v>0</v>
      </c>
      <c r="K15" s="36">
        <v>0</v>
      </c>
      <c r="L15" s="36">
        <v>0</v>
      </c>
      <c r="M15" s="37">
        <v>6000</v>
      </c>
      <c r="N15" s="38">
        <f t="shared" si="1"/>
        <v>6000</v>
      </c>
      <c r="O15" s="7"/>
    </row>
    <row r="16" spans="1:18" ht="18" customHeight="1" x14ac:dyDescent="0.25">
      <c r="A16" s="31">
        <f>IF(G16&lt;&gt;"",1+MAX($A$2:A15),"")</f>
        <v>5</v>
      </c>
      <c r="B16" s="32"/>
      <c r="C16" s="32"/>
      <c r="D16" s="125" t="s">
        <v>55</v>
      </c>
      <c r="E16" s="25" t="s">
        <v>4</v>
      </c>
      <c r="F16" s="33">
        <v>1</v>
      </c>
      <c r="G16" s="34">
        <v>0</v>
      </c>
      <c r="H16" s="35">
        <f t="shared" si="0"/>
        <v>1</v>
      </c>
      <c r="I16" s="190">
        <v>0</v>
      </c>
      <c r="J16" s="223">
        <v>0</v>
      </c>
      <c r="K16" s="36">
        <v>0</v>
      </c>
      <c r="L16" s="36">
        <v>0</v>
      </c>
      <c r="M16" s="37">
        <v>40000</v>
      </c>
      <c r="N16" s="38">
        <f t="shared" si="1"/>
        <v>40000</v>
      </c>
      <c r="O16" s="7"/>
    </row>
    <row r="17" spans="1:18" ht="18" customHeight="1" x14ac:dyDescent="0.25">
      <c r="A17" s="31">
        <f>IF(G17&lt;&gt;"",1+MAX($A$2:A16),"")</f>
        <v>6</v>
      </c>
      <c r="B17" s="32"/>
      <c r="C17" s="32"/>
      <c r="D17" s="125" t="s">
        <v>56</v>
      </c>
      <c r="E17" s="25" t="s">
        <v>4</v>
      </c>
      <c r="F17" s="33">
        <v>1</v>
      </c>
      <c r="G17" s="34">
        <v>0</v>
      </c>
      <c r="H17" s="35">
        <f t="shared" si="0"/>
        <v>1</v>
      </c>
      <c r="I17" s="190">
        <v>0</v>
      </c>
      <c r="J17" s="223">
        <v>0</v>
      </c>
      <c r="K17" s="36">
        <v>0</v>
      </c>
      <c r="L17" s="36">
        <v>0</v>
      </c>
      <c r="M17" s="37">
        <v>12000</v>
      </c>
      <c r="N17" s="38">
        <f t="shared" si="1"/>
        <v>12000</v>
      </c>
      <c r="O17" s="7"/>
    </row>
    <row r="18" spans="1:18" ht="18" customHeight="1" x14ac:dyDescent="0.25">
      <c r="A18" s="31">
        <f>IF(G18&lt;&gt;"",1+MAX($A$2:A17),"")</f>
        <v>7</v>
      </c>
      <c r="B18" s="32"/>
      <c r="C18" s="32"/>
      <c r="D18" s="125" t="s">
        <v>57</v>
      </c>
      <c r="E18" s="25" t="s">
        <v>4</v>
      </c>
      <c r="F18" s="33">
        <v>1</v>
      </c>
      <c r="G18" s="34">
        <v>0</v>
      </c>
      <c r="H18" s="35">
        <f t="shared" ref="H18" si="2">(G18*F18)+F18</f>
        <v>1</v>
      </c>
      <c r="I18" s="190">
        <v>0</v>
      </c>
      <c r="J18" s="223">
        <v>0</v>
      </c>
      <c r="K18" s="36">
        <v>0</v>
      </c>
      <c r="L18" s="36">
        <v>0</v>
      </c>
      <c r="M18" s="37">
        <v>4000</v>
      </c>
      <c r="N18" s="39">
        <f t="shared" ref="N18" si="3">H18*M18</f>
        <v>4000</v>
      </c>
      <c r="O18" s="7"/>
    </row>
    <row r="19" spans="1:18" ht="78" x14ac:dyDescent="0.25">
      <c r="A19" s="31" t="str">
        <f>IF(G19&lt;&gt;"",1+MAX($A$2:A18),"")</f>
        <v/>
      </c>
      <c r="B19" s="211" t="s">
        <v>219</v>
      </c>
      <c r="C19" s="214"/>
      <c r="D19" s="164" t="s">
        <v>364</v>
      </c>
      <c r="E19" s="25"/>
      <c r="F19" s="33"/>
      <c r="G19" s="34"/>
      <c r="H19" s="35"/>
      <c r="I19" s="190"/>
      <c r="J19" s="223"/>
      <c r="K19" s="36"/>
      <c r="L19" s="36"/>
      <c r="M19" s="37"/>
      <c r="N19" s="39"/>
      <c r="O19" s="7"/>
    </row>
    <row r="20" spans="1:18" s="1" customFormat="1" ht="31.2" x14ac:dyDescent="0.25">
      <c r="A20" s="40" t="str">
        <f>IF(G20&lt;&gt;"",1+MAX($A$2:A19),"")</f>
        <v/>
      </c>
      <c r="B20" s="41"/>
      <c r="C20" s="41"/>
      <c r="D20" s="41"/>
      <c r="E20" s="41"/>
      <c r="F20" s="41"/>
      <c r="G20" s="41"/>
      <c r="H20" s="41"/>
      <c r="I20" s="245"/>
      <c r="J20" s="224"/>
      <c r="K20" s="42"/>
      <c r="L20" s="42"/>
      <c r="M20" s="43" t="s">
        <v>19</v>
      </c>
      <c r="N20" s="44">
        <f>SUM(N12:N19)</f>
        <v>104000</v>
      </c>
      <c r="O20" s="4"/>
      <c r="P20" s="4"/>
      <c r="Q20" s="4"/>
      <c r="R20" s="4"/>
    </row>
    <row r="21" spans="1:18" ht="16.2" thickBot="1" x14ac:dyDescent="0.3">
      <c r="A21" s="45" t="str">
        <f>IF(G21&lt;&gt;"",1+MAX($A$2:A20),"")</f>
        <v/>
      </c>
      <c r="B21" s="134"/>
      <c r="C21" s="134"/>
      <c r="D21" s="134"/>
      <c r="E21" s="134"/>
      <c r="F21" s="134"/>
      <c r="G21" s="134"/>
      <c r="H21" s="134"/>
      <c r="I21" s="246"/>
      <c r="J21" s="225"/>
      <c r="K21" s="46"/>
      <c r="L21" s="46"/>
      <c r="M21" s="135"/>
      <c r="N21" s="47"/>
    </row>
    <row r="22" spans="1:18" ht="23.25" customHeight="1" thickBot="1" x14ac:dyDescent="0.3">
      <c r="A22" s="48" t="str">
        <f>IF(G22&lt;&gt;"",1+MAX($A$2:A21),"")</f>
        <v/>
      </c>
      <c r="B22" s="49"/>
      <c r="C22" s="49"/>
      <c r="D22" s="50"/>
      <c r="E22" s="51" t="s">
        <v>34</v>
      </c>
      <c r="F22" s="52"/>
      <c r="G22" s="52"/>
      <c r="H22" s="52"/>
      <c r="I22" s="244"/>
      <c r="J22" s="222"/>
      <c r="K22" s="52"/>
      <c r="L22" s="52"/>
      <c r="M22" s="53"/>
      <c r="N22" s="54"/>
      <c r="P22" s="258" t="s">
        <v>23</v>
      </c>
      <c r="Q22" s="259" t="s">
        <v>24</v>
      </c>
    </row>
    <row r="23" spans="1:18" ht="18" customHeight="1" x14ac:dyDescent="0.25">
      <c r="A23" s="55" t="str">
        <f>IF(G23&lt;&gt;"",1+MAX($A$2:A22),"")</f>
        <v/>
      </c>
      <c r="B23" s="153"/>
      <c r="C23" s="152"/>
      <c r="D23" s="185" t="s">
        <v>218</v>
      </c>
      <c r="E23" s="57"/>
      <c r="F23" s="58"/>
      <c r="G23" s="34"/>
      <c r="H23" s="35"/>
      <c r="I23" s="65"/>
      <c r="J23" s="226"/>
      <c r="K23" s="59"/>
      <c r="L23" s="59"/>
      <c r="M23" s="37"/>
      <c r="N23" s="38"/>
      <c r="O23" s="7"/>
      <c r="P23" s="256"/>
      <c r="Q23" s="257"/>
    </row>
    <row r="24" spans="1:18" ht="109.2" x14ac:dyDescent="0.25">
      <c r="A24" s="22">
        <f>IF(G24&lt;&gt;"",1+MAX($A$2:A23),"")</f>
        <v>8</v>
      </c>
      <c r="B24" s="336" t="s">
        <v>219</v>
      </c>
      <c r="C24" s="330" t="s">
        <v>220</v>
      </c>
      <c r="D24" s="159" t="s">
        <v>392</v>
      </c>
      <c r="E24" s="25" t="s">
        <v>7</v>
      </c>
      <c r="F24" s="25">
        <f>2495*10</f>
        <v>24950</v>
      </c>
      <c r="G24" s="26">
        <v>0</v>
      </c>
      <c r="H24" s="27">
        <f>(G24*F24)+F24</f>
        <v>24950</v>
      </c>
      <c r="I24" s="190">
        <v>1.7999999999999999E-2</v>
      </c>
      <c r="J24" s="223">
        <v>38</v>
      </c>
      <c r="K24" s="28">
        <f t="shared" ref="K24:K25" si="4">I24*J24</f>
        <v>0.68399999999999994</v>
      </c>
      <c r="L24" s="28">
        <f>1.02+1.25+0.3</f>
        <v>2.57</v>
      </c>
      <c r="M24" s="29">
        <f t="shared" ref="M24:M25" si="5">K24+L24</f>
        <v>3.2539999999999996</v>
      </c>
      <c r="N24" s="30">
        <f t="shared" ref="N24:N25" si="6">H24*M24</f>
        <v>81187.299999999988</v>
      </c>
      <c r="O24" s="7"/>
      <c r="P24" s="254">
        <f>K24*H24</f>
        <v>17065.8</v>
      </c>
      <c r="Q24" s="255">
        <f>L24*H24</f>
        <v>64121.499999999993</v>
      </c>
    </row>
    <row r="25" spans="1:18" ht="18" customHeight="1" x14ac:dyDescent="0.25">
      <c r="A25" s="22">
        <f>IF(G25&lt;&gt;"",1+MAX($A$2:A24),"")</f>
        <v>9</v>
      </c>
      <c r="B25" s="337"/>
      <c r="C25" s="332"/>
      <c r="D25" s="159" t="s">
        <v>221</v>
      </c>
      <c r="E25" s="33" t="s">
        <v>27</v>
      </c>
      <c r="F25" s="33">
        <v>2</v>
      </c>
      <c r="G25" s="34">
        <v>0</v>
      </c>
      <c r="H25" s="27">
        <f t="shared" ref="H25" si="7">(G25*F25)+F25</f>
        <v>2</v>
      </c>
      <c r="I25" s="190">
        <v>1.32</v>
      </c>
      <c r="J25" s="223">
        <f>J$24</f>
        <v>38</v>
      </c>
      <c r="K25" s="36">
        <f t="shared" si="4"/>
        <v>50.160000000000004</v>
      </c>
      <c r="L25" s="36">
        <v>650</v>
      </c>
      <c r="M25" s="37">
        <f t="shared" si="5"/>
        <v>700.16</v>
      </c>
      <c r="N25" s="38">
        <f t="shared" si="6"/>
        <v>1400.32</v>
      </c>
      <c r="O25" s="7"/>
      <c r="P25" s="254">
        <f t="shared" ref="P25:P93" si="8">K25*H25</f>
        <v>100.32000000000001</v>
      </c>
      <c r="Q25" s="255">
        <f t="shared" ref="Q25:Q93" si="9">L25*H25</f>
        <v>1300</v>
      </c>
    </row>
    <row r="26" spans="1:18" ht="18" customHeight="1" x14ac:dyDescent="0.25">
      <c r="A26" s="55" t="str">
        <f>IF(G26&lt;&gt;"",1+MAX($A$2:A25),"")</f>
        <v/>
      </c>
      <c r="B26" s="155"/>
      <c r="C26" s="156"/>
      <c r="D26" s="56" t="s">
        <v>28</v>
      </c>
      <c r="E26" s="57"/>
      <c r="F26" s="58"/>
      <c r="G26" s="34"/>
      <c r="H26" s="35"/>
      <c r="I26" s="65"/>
      <c r="J26" s="226"/>
      <c r="K26" s="59"/>
      <c r="L26" s="59"/>
      <c r="M26" s="37"/>
      <c r="N26" s="38"/>
      <c r="P26" s="254">
        <f t="shared" si="8"/>
        <v>0</v>
      </c>
      <c r="Q26" s="255">
        <f t="shared" si="9"/>
        <v>0</v>
      </c>
    </row>
    <row r="27" spans="1:18" ht="31.2" x14ac:dyDescent="0.25">
      <c r="A27" s="22">
        <f>IF(G27&lt;&gt;"",1+MAX($A$2:A26),"")</f>
        <v>10</v>
      </c>
      <c r="B27" s="319" t="s">
        <v>71</v>
      </c>
      <c r="C27" s="157" t="s">
        <v>74</v>
      </c>
      <c r="D27" s="159" t="s">
        <v>382</v>
      </c>
      <c r="E27" s="25" t="s">
        <v>7</v>
      </c>
      <c r="F27" s="25">
        <v>2766</v>
      </c>
      <c r="G27" s="26">
        <v>0</v>
      </c>
      <c r="H27" s="27">
        <f>(G27*F27)+F27</f>
        <v>2766</v>
      </c>
      <c r="I27" s="190">
        <v>3.5000000000000003E-2</v>
      </c>
      <c r="J27" s="223">
        <f t="shared" ref="J27:J58" si="10">J$24</f>
        <v>38</v>
      </c>
      <c r="K27" s="28">
        <f t="shared" ref="K27:K75" si="11">I27*J27</f>
        <v>1.33</v>
      </c>
      <c r="L27" s="28">
        <v>0</v>
      </c>
      <c r="M27" s="29">
        <f t="shared" ref="M27:M69" si="12">K27+L27</f>
        <v>1.33</v>
      </c>
      <c r="N27" s="30">
        <f t="shared" ref="N27:N75" si="13">H27*M27</f>
        <v>3678.78</v>
      </c>
      <c r="P27" s="254">
        <f t="shared" si="8"/>
        <v>3678.78</v>
      </c>
      <c r="Q27" s="255">
        <f t="shared" si="9"/>
        <v>0</v>
      </c>
    </row>
    <row r="28" spans="1:18" ht="31.2" x14ac:dyDescent="0.25">
      <c r="A28" s="22">
        <f>IF(G28&lt;&gt;"",1+MAX($A$2:A27),"")</f>
        <v>11</v>
      </c>
      <c r="B28" s="321"/>
      <c r="C28" s="157" t="s">
        <v>74</v>
      </c>
      <c r="D28" s="159" t="s">
        <v>384</v>
      </c>
      <c r="E28" s="33" t="s">
        <v>7</v>
      </c>
      <c r="F28" s="35">
        <f>2*2*2</f>
        <v>8</v>
      </c>
      <c r="G28" s="34">
        <v>0</v>
      </c>
      <c r="H28" s="27">
        <f t="shared" ref="H28:H49" si="14">(G28*F28)+F28</f>
        <v>8</v>
      </c>
      <c r="I28" s="190">
        <v>0.1</v>
      </c>
      <c r="J28" s="223">
        <f t="shared" si="10"/>
        <v>38</v>
      </c>
      <c r="K28" s="36">
        <f t="shared" ref="K28:K50" si="15">I28*J28</f>
        <v>3.8000000000000003</v>
      </c>
      <c r="L28" s="36">
        <v>1.2</v>
      </c>
      <c r="M28" s="37">
        <f t="shared" ref="M28:M50" si="16">K28+L28</f>
        <v>5</v>
      </c>
      <c r="N28" s="38">
        <f t="shared" ref="N28:N50" si="17">H28*M28</f>
        <v>40</v>
      </c>
      <c r="P28" s="254">
        <f t="shared" si="8"/>
        <v>30.400000000000002</v>
      </c>
      <c r="Q28" s="255">
        <f t="shared" si="9"/>
        <v>9.6</v>
      </c>
    </row>
    <row r="29" spans="1:18" ht="18" customHeight="1" x14ac:dyDescent="0.25">
      <c r="A29" s="22">
        <f>IF(G29&lt;&gt;"",1+MAX($A$2:A28),"")</f>
        <v>12</v>
      </c>
      <c r="B29" s="209" t="s">
        <v>73</v>
      </c>
      <c r="C29" s="157" t="s">
        <v>75</v>
      </c>
      <c r="D29" s="24" t="s">
        <v>72</v>
      </c>
      <c r="E29" s="33" t="s">
        <v>7</v>
      </c>
      <c r="F29" s="35">
        <f>77.26*10.5</f>
        <v>811.23</v>
      </c>
      <c r="G29" s="34">
        <v>0</v>
      </c>
      <c r="H29" s="27">
        <f t="shared" ref="H29:H47" si="18">(G29*F29)+F29</f>
        <v>811.23</v>
      </c>
      <c r="I29" s="190">
        <v>8.0000000000000002E-3</v>
      </c>
      <c r="J29" s="223">
        <f t="shared" si="10"/>
        <v>38</v>
      </c>
      <c r="K29" s="36">
        <f t="shared" ref="K29:K48" si="19">I29*J29</f>
        <v>0.30399999999999999</v>
      </c>
      <c r="L29" s="36">
        <v>0</v>
      </c>
      <c r="M29" s="37">
        <f t="shared" ref="M29:M48" si="20">K29+L29</f>
        <v>0.30399999999999999</v>
      </c>
      <c r="N29" s="38">
        <f t="shared" ref="N29:N48" si="21">H29*M29</f>
        <v>246.61392000000001</v>
      </c>
      <c r="O29" s="7"/>
      <c r="P29" s="254">
        <f t="shared" si="8"/>
        <v>246.61392000000001</v>
      </c>
      <c r="Q29" s="255">
        <f t="shared" si="9"/>
        <v>0</v>
      </c>
    </row>
    <row r="30" spans="1:18" ht="18" customHeight="1" x14ac:dyDescent="0.25">
      <c r="A30" s="22">
        <f>IF(G30&lt;&gt;"",1+MAX($A$2:A29),"")</f>
        <v>13</v>
      </c>
      <c r="B30" s="209" t="s">
        <v>73</v>
      </c>
      <c r="C30" s="157" t="s">
        <v>79</v>
      </c>
      <c r="D30" s="24" t="s">
        <v>362</v>
      </c>
      <c r="E30" s="33" t="s">
        <v>7</v>
      </c>
      <c r="F30" s="35">
        <f>27.56*10.5</f>
        <v>289.38</v>
      </c>
      <c r="G30" s="34">
        <v>0</v>
      </c>
      <c r="H30" s="27">
        <f>(G30*F30)+F30</f>
        <v>289.38</v>
      </c>
      <c r="I30" s="190">
        <v>8.0000000000000002E-3</v>
      </c>
      <c r="J30" s="223">
        <f t="shared" si="10"/>
        <v>38</v>
      </c>
      <c r="K30" s="36">
        <f t="shared" ref="K30:K46" si="22">I30*J30</f>
        <v>0.30399999999999999</v>
      </c>
      <c r="L30" s="36">
        <v>0</v>
      </c>
      <c r="M30" s="37">
        <f t="shared" ref="M30:M44" si="23">K30+L30</f>
        <v>0.30399999999999999</v>
      </c>
      <c r="N30" s="38">
        <f t="shared" ref="N30:N46" si="24">H30*M30</f>
        <v>87.971519999999998</v>
      </c>
      <c r="P30" s="254">
        <f t="shared" si="8"/>
        <v>87.971519999999998</v>
      </c>
      <c r="Q30" s="255">
        <f t="shared" si="9"/>
        <v>0</v>
      </c>
    </row>
    <row r="31" spans="1:18" ht="18" customHeight="1" x14ac:dyDescent="0.25">
      <c r="A31" s="22">
        <f>IF(G31&lt;&gt;"",1+MAX($A$2:A30),"")</f>
        <v>14</v>
      </c>
      <c r="B31" s="209" t="s">
        <v>73</v>
      </c>
      <c r="C31" s="157" t="s">
        <v>83</v>
      </c>
      <c r="D31" s="24" t="s">
        <v>84</v>
      </c>
      <c r="E31" s="60" t="s">
        <v>7</v>
      </c>
      <c r="F31" s="35">
        <f>14.21*10.5</f>
        <v>149.20500000000001</v>
      </c>
      <c r="G31" s="34">
        <v>0</v>
      </c>
      <c r="H31" s="27">
        <f>(G31*F31)+F31</f>
        <v>149.20500000000001</v>
      </c>
      <c r="I31" s="190">
        <v>8.0000000000000002E-3</v>
      </c>
      <c r="J31" s="223">
        <f t="shared" si="10"/>
        <v>38</v>
      </c>
      <c r="K31" s="36">
        <f t="shared" si="22"/>
        <v>0.30399999999999999</v>
      </c>
      <c r="L31" s="36">
        <v>0</v>
      </c>
      <c r="M31" s="37">
        <f t="shared" si="23"/>
        <v>0.30399999999999999</v>
      </c>
      <c r="N31" s="38">
        <f t="shared" si="24"/>
        <v>45.358320000000006</v>
      </c>
      <c r="P31" s="254">
        <f t="shared" si="8"/>
        <v>45.358320000000006</v>
      </c>
      <c r="Q31" s="255">
        <f t="shared" si="9"/>
        <v>0</v>
      </c>
    </row>
    <row r="32" spans="1:18" ht="31.2" x14ac:dyDescent="0.25">
      <c r="A32" s="22">
        <f>IF(G32&lt;&gt;"",1+MAX($A$2:A31),"")</f>
        <v>15</v>
      </c>
      <c r="B32" s="209" t="s">
        <v>109</v>
      </c>
      <c r="C32" s="158" t="s">
        <v>116</v>
      </c>
      <c r="D32" s="159" t="s">
        <v>115</v>
      </c>
      <c r="E32" s="60" t="s">
        <v>7</v>
      </c>
      <c r="F32" s="35">
        <f>421*10</f>
        <v>4210</v>
      </c>
      <c r="G32" s="34">
        <v>0</v>
      </c>
      <c r="H32" s="27">
        <f>(G32*F32)+F32</f>
        <v>4210</v>
      </c>
      <c r="I32" s="190">
        <v>8.0000000000000002E-3</v>
      </c>
      <c r="J32" s="223">
        <f t="shared" si="10"/>
        <v>38</v>
      </c>
      <c r="K32" s="36">
        <f t="shared" si="22"/>
        <v>0.30399999999999999</v>
      </c>
      <c r="L32" s="36">
        <v>0</v>
      </c>
      <c r="M32" s="37">
        <f t="shared" si="23"/>
        <v>0.30399999999999999</v>
      </c>
      <c r="N32" s="38">
        <f t="shared" si="24"/>
        <v>1279.8399999999999</v>
      </c>
      <c r="P32" s="254">
        <f t="shared" si="8"/>
        <v>1279.8399999999999</v>
      </c>
      <c r="Q32" s="255">
        <f t="shared" si="9"/>
        <v>0</v>
      </c>
    </row>
    <row r="33" spans="1:17" ht="31.2" x14ac:dyDescent="0.25">
      <c r="A33" s="22">
        <f>IF(G33&lt;&gt;"",1+MAX($A$2:A32),"")</f>
        <v>16</v>
      </c>
      <c r="B33" s="209" t="s">
        <v>109</v>
      </c>
      <c r="C33" s="158" t="s">
        <v>118</v>
      </c>
      <c r="D33" s="159" t="s">
        <v>117</v>
      </c>
      <c r="E33" s="60" t="s">
        <v>7</v>
      </c>
      <c r="F33" s="35">
        <f>826*4</f>
        <v>3304</v>
      </c>
      <c r="G33" s="34">
        <v>0</v>
      </c>
      <c r="H33" s="27">
        <f>(G33*F33)+F33</f>
        <v>3304</v>
      </c>
      <c r="I33" s="190">
        <v>8.0000000000000002E-3</v>
      </c>
      <c r="J33" s="223">
        <f t="shared" si="10"/>
        <v>38</v>
      </c>
      <c r="K33" s="36">
        <f t="shared" si="22"/>
        <v>0.30399999999999999</v>
      </c>
      <c r="L33" s="36">
        <v>0</v>
      </c>
      <c r="M33" s="37">
        <f t="shared" si="23"/>
        <v>0.30399999999999999</v>
      </c>
      <c r="N33" s="38">
        <f t="shared" si="24"/>
        <v>1004.4159999999999</v>
      </c>
      <c r="P33" s="254">
        <f t="shared" si="8"/>
        <v>1004.4159999999999</v>
      </c>
      <c r="Q33" s="255">
        <f t="shared" si="9"/>
        <v>0</v>
      </c>
    </row>
    <row r="34" spans="1:17" ht="62.4" x14ac:dyDescent="0.25">
      <c r="A34" s="22">
        <f>IF(G34&lt;&gt;"",1+MAX($A$2:A33),"")</f>
        <v>17</v>
      </c>
      <c r="B34" s="209" t="s">
        <v>109</v>
      </c>
      <c r="C34" s="158" t="s">
        <v>148</v>
      </c>
      <c r="D34" s="159" t="s">
        <v>150</v>
      </c>
      <c r="E34" s="60" t="s">
        <v>7</v>
      </c>
      <c r="F34" s="35">
        <f>60.06*4</f>
        <v>240.24</v>
      </c>
      <c r="G34" s="34">
        <v>0</v>
      </c>
      <c r="H34" s="27">
        <f>(G34*F34)+F34</f>
        <v>240.24</v>
      </c>
      <c r="I34" s="190">
        <v>8.0000000000000002E-3</v>
      </c>
      <c r="J34" s="223">
        <f t="shared" si="10"/>
        <v>38</v>
      </c>
      <c r="K34" s="36">
        <f t="shared" si="22"/>
        <v>0.30399999999999999</v>
      </c>
      <c r="L34" s="36">
        <v>0</v>
      </c>
      <c r="M34" s="37">
        <f t="shared" si="23"/>
        <v>0.30399999999999999</v>
      </c>
      <c r="N34" s="38">
        <f t="shared" si="24"/>
        <v>73.032960000000003</v>
      </c>
      <c r="P34" s="254">
        <f t="shared" si="8"/>
        <v>73.032960000000003</v>
      </c>
      <c r="Q34" s="255">
        <f t="shared" si="9"/>
        <v>0</v>
      </c>
    </row>
    <row r="35" spans="1:17" ht="62.4" x14ac:dyDescent="0.25">
      <c r="A35" s="22">
        <f>IF(G35&lt;&gt;"",1+MAX($A$2:A34),"")</f>
        <v>18</v>
      </c>
      <c r="B35" s="209" t="s">
        <v>109</v>
      </c>
      <c r="C35" s="158" t="s">
        <v>149</v>
      </c>
      <c r="D35" s="159" t="s">
        <v>297</v>
      </c>
      <c r="E35" s="60" t="s">
        <v>7</v>
      </c>
      <c r="F35" s="35">
        <f>101*10</f>
        <v>1010</v>
      </c>
      <c r="G35" s="34">
        <v>0</v>
      </c>
      <c r="H35" s="27">
        <f t="shared" ref="H35:H37" si="25">(G35*F35)+F35</f>
        <v>1010</v>
      </c>
      <c r="I35" s="190">
        <v>8.0000000000000002E-3</v>
      </c>
      <c r="J35" s="223">
        <f t="shared" si="10"/>
        <v>38</v>
      </c>
      <c r="K35" s="36">
        <f t="shared" si="22"/>
        <v>0.30399999999999999</v>
      </c>
      <c r="L35" s="36">
        <v>0</v>
      </c>
      <c r="M35" s="37">
        <f t="shared" si="23"/>
        <v>0.30399999999999999</v>
      </c>
      <c r="N35" s="38">
        <f t="shared" si="24"/>
        <v>307.04000000000002</v>
      </c>
      <c r="P35" s="254">
        <f t="shared" si="8"/>
        <v>307.04000000000002</v>
      </c>
      <c r="Q35" s="255">
        <f t="shared" si="9"/>
        <v>0</v>
      </c>
    </row>
    <row r="36" spans="1:17" ht="62.4" x14ac:dyDescent="0.25">
      <c r="A36" s="22">
        <f>IF(G36&lt;&gt;"",1+MAX($A$2:A35),"")</f>
        <v>19</v>
      </c>
      <c r="B36" s="209" t="s">
        <v>109</v>
      </c>
      <c r="C36" s="158" t="s">
        <v>152</v>
      </c>
      <c r="D36" s="159" t="s">
        <v>151</v>
      </c>
      <c r="E36" s="60" t="s">
        <v>7</v>
      </c>
      <c r="F36" s="35">
        <f>242*4</f>
        <v>968</v>
      </c>
      <c r="G36" s="34">
        <v>0</v>
      </c>
      <c r="H36" s="27">
        <f t="shared" si="25"/>
        <v>968</v>
      </c>
      <c r="I36" s="190">
        <v>8.0000000000000002E-3</v>
      </c>
      <c r="J36" s="223">
        <f t="shared" si="10"/>
        <v>38</v>
      </c>
      <c r="K36" s="36">
        <f t="shared" si="22"/>
        <v>0.30399999999999999</v>
      </c>
      <c r="L36" s="36">
        <v>0</v>
      </c>
      <c r="M36" s="37">
        <f t="shared" si="23"/>
        <v>0.30399999999999999</v>
      </c>
      <c r="N36" s="38">
        <f t="shared" si="24"/>
        <v>294.27199999999999</v>
      </c>
      <c r="O36" s="7"/>
      <c r="P36" s="254">
        <f t="shared" si="8"/>
        <v>294.27199999999999</v>
      </c>
      <c r="Q36" s="255">
        <f t="shared" si="9"/>
        <v>0</v>
      </c>
    </row>
    <row r="37" spans="1:17" ht="18" customHeight="1" x14ac:dyDescent="0.25">
      <c r="A37" s="22">
        <f>IF(G37&lt;&gt;"",1+MAX($A$2:A36),"")</f>
        <v>20</v>
      </c>
      <c r="B37" s="209" t="s">
        <v>109</v>
      </c>
      <c r="C37" s="158" t="s">
        <v>153</v>
      </c>
      <c r="D37" s="24" t="s">
        <v>298</v>
      </c>
      <c r="E37" s="60" t="s">
        <v>7</v>
      </c>
      <c r="F37" s="35">
        <f>13*10</f>
        <v>130</v>
      </c>
      <c r="G37" s="34">
        <v>0</v>
      </c>
      <c r="H37" s="27">
        <f t="shared" si="25"/>
        <v>130</v>
      </c>
      <c r="I37" s="190">
        <v>2.8000000000000001E-2</v>
      </c>
      <c r="J37" s="223">
        <f t="shared" si="10"/>
        <v>38</v>
      </c>
      <c r="K37" s="36">
        <f t="shared" si="22"/>
        <v>1.0640000000000001</v>
      </c>
      <c r="L37" s="36">
        <v>0</v>
      </c>
      <c r="M37" s="37">
        <f t="shared" si="23"/>
        <v>1.0640000000000001</v>
      </c>
      <c r="N37" s="38">
        <f t="shared" si="24"/>
        <v>138.32</v>
      </c>
      <c r="P37" s="254">
        <f t="shared" si="8"/>
        <v>138.32</v>
      </c>
      <c r="Q37" s="255">
        <f t="shared" si="9"/>
        <v>0</v>
      </c>
    </row>
    <row r="38" spans="1:17" ht="18" customHeight="1" x14ac:dyDescent="0.25">
      <c r="A38" s="22">
        <f>IF(G38&lt;&gt;"",1+MAX($A$2:A37),"")</f>
        <v>21</v>
      </c>
      <c r="B38" s="155" t="s">
        <v>190</v>
      </c>
      <c r="C38" s="210" t="s">
        <v>214</v>
      </c>
      <c r="D38" s="159" t="s">
        <v>365</v>
      </c>
      <c r="E38" s="25" t="s">
        <v>7</v>
      </c>
      <c r="F38" s="33">
        <v>70</v>
      </c>
      <c r="G38" s="34">
        <v>0</v>
      </c>
      <c r="H38" s="27">
        <f>(G38*F38)+F38</f>
        <v>70</v>
      </c>
      <c r="I38" s="190">
        <v>0.01</v>
      </c>
      <c r="J38" s="223">
        <f t="shared" si="10"/>
        <v>38</v>
      </c>
      <c r="K38" s="36">
        <f t="shared" si="22"/>
        <v>0.38</v>
      </c>
      <c r="L38" s="36">
        <v>0</v>
      </c>
      <c r="M38" s="37">
        <f t="shared" si="23"/>
        <v>0.38</v>
      </c>
      <c r="N38" s="38">
        <f t="shared" si="24"/>
        <v>26.6</v>
      </c>
      <c r="O38" s="7"/>
      <c r="P38" s="254">
        <f t="shared" si="8"/>
        <v>26.6</v>
      </c>
      <c r="Q38" s="255">
        <f t="shared" si="9"/>
        <v>0</v>
      </c>
    </row>
    <row r="39" spans="1:17" ht="18" customHeight="1" x14ac:dyDescent="0.25">
      <c r="A39" s="22">
        <f>IF(G39&lt;&gt;"",1+MAX($A$2:A38),"")</f>
        <v>22</v>
      </c>
      <c r="B39" s="209" t="s">
        <v>109</v>
      </c>
      <c r="C39" s="158" t="s">
        <v>120</v>
      </c>
      <c r="D39" s="24" t="s">
        <v>119</v>
      </c>
      <c r="E39" s="60" t="s">
        <v>7</v>
      </c>
      <c r="F39" s="35">
        <f>32.98*10</f>
        <v>329.79999999999995</v>
      </c>
      <c r="G39" s="34">
        <v>0</v>
      </c>
      <c r="H39" s="27">
        <f>(G39*F39)+F39</f>
        <v>329.79999999999995</v>
      </c>
      <c r="I39" s="190">
        <v>0.01</v>
      </c>
      <c r="J39" s="223">
        <f t="shared" si="10"/>
        <v>38</v>
      </c>
      <c r="K39" s="36">
        <f t="shared" si="22"/>
        <v>0.38</v>
      </c>
      <c r="L39" s="36">
        <v>0</v>
      </c>
      <c r="M39" s="37">
        <f t="shared" si="23"/>
        <v>0.38</v>
      </c>
      <c r="N39" s="38">
        <f t="shared" si="24"/>
        <v>125.32399999999998</v>
      </c>
      <c r="O39" s="7"/>
      <c r="P39" s="254">
        <f t="shared" si="8"/>
        <v>125.32399999999998</v>
      </c>
      <c r="Q39" s="255">
        <f t="shared" si="9"/>
        <v>0</v>
      </c>
    </row>
    <row r="40" spans="1:17" ht="18" customHeight="1" x14ac:dyDescent="0.25">
      <c r="A40" s="22">
        <f>IF(G40&lt;&gt;"",1+MAX($A$2:A39),"")</f>
        <v>23</v>
      </c>
      <c r="B40" s="209" t="s">
        <v>109</v>
      </c>
      <c r="C40" s="158" t="s">
        <v>125</v>
      </c>
      <c r="D40" s="24" t="s">
        <v>124</v>
      </c>
      <c r="E40" s="60" t="s">
        <v>7</v>
      </c>
      <c r="F40" s="35">
        <f>35.39*10</f>
        <v>353.9</v>
      </c>
      <c r="G40" s="34">
        <v>0</v>
      </c>
      <c r="H40" s="27">
        <f t="shared" ref="H40" si="26">(G40*F40)+F40</f>
        <v>353.9</v>
      </c>
      <c r="I40" s="190">
        <v>0.01</v>
      </c>
      <c r="J40" s="223">
        <f t="shared" si="10"/>
        <v>38</v>
      </c>
      <c r="K40" s="36">
        <f t="shared" si="22"/>
        <v>0.38</v>
      </c>
      <c r="L40" s="36">
        <v>0</v>
      </c>
      <c r="M40" s="37">
        <f t="shared" si="23"/>
        <v>0.38</v>
      </c>
      <c r="N40" s="38">
        <f t="shared" si="24"/>
        <v>134.482</v>
      </c>
      <c r="P40" s="254">
        <f t="shared" si="8"/>
        <v>134.482</v>
      </c>
      <c r="Q40" s="255">
        <f t="shared" si="9"/>
        <v>0</v>
      </c>
    </row>
    <row r="41" spans="1:17" ht="18" customHeight="1" x14ac:dyDescent="0.25">
      <c r="A41" s="22">
        <f>IF(G41&lt;&gt;"",1+MAX($A$2:A40),"")</f>
        <v>24</v>
      </c>
      <c r="B41" s="209" t="s">
        <v>73</v>
      </c>
      <c r="C41" s="157" t="s">
        <v>92</v>
      </c>
      <c r="D41" s="24" t="s">
        <v>91</v>
      </c>
      <c r="E41" s="33" t="s">
        <v>7</v>
      </c>
      <c r="F41" s="35">
        <v>131.96</v>
      </c>
      <c r="G41" s="34">
        <v>0</v>
      </c>
      <c r="H41" s="27">
        <f t="shared" ref="H41:H46" si="27">(G41*F41)+F41</f>
        <v>131.96</v>
      </c>
      <c r="I41" s="190">
        <v>1.6E-2</v>
      </c>
      <c r="J41" s="223">
        <f t="shared" si="10"/>
        <v>38</v>
      </c>
      <c r="K41" s="36">
        <f t="shared" si="22"/>
        <v>0.60799999999999998</v>
      </c>
      <c r="L41" s="36">
        <v>0</v>
      </c>
      <c r="M41" s="37">
        <f t="shared" si="23"/>
        <v>0.60799999999999998</v>
      </c>
      <c r="N41" s="38">
        <f t="shared" si="24"/>
        <v>80.231679999999997</v>
      </c>
      <c r="P41" s="254">
        <f t="shared" si="8"/>
        <v>80.231679999999997</v>
      </c>
      <c r="Q41" s="255">
        <f t="shared" si="9"/>
        <v>0</v>
      </c>
    </row>
    <row r="42" spans="1:17" ht="18" customHeight="1" x14ac:dyDescent="0.25">
      <c r="A42" s="22">
        <f>IF(G42&lt;&gt;"",1+MAX($A$2:A41),"")</f>
        <v>25</v>
      </c>
      <c r="B42" s="209" t="s">
        <v>73</v>
      </c>
      <c r="C42" s="157" t="s">
        <v>93</v>
      </c>
      <c r="D42" s="24" t="s">
        <v>387</v>
      </c>
      <c r="E42" s="33" t="s">
        <v>7</v>
      </c>
      <c r="F42" s="35">
        <v>1007</v>
      </c>
      <c r="G42" s="34">
        <v>0</v>
      </c>
      <c r="H42" s="27">
        <f t="shared" si="27"/>
        <v>1007</v>
      </c>
      <c r="I42" s="190">
        <v>0.01</v>
      </c>
      <c r="J42" s="223">
        <f t="shared" si="10"/>
        <v>38</v>
      </c>
      <c r="K42" s="36">
        <f t="shared" si="22"/>
        <v>0.38</v>
      </c>
      <c r="L42" s="36">
        <v>0</v>
      </c>
      <c r="M42" s="37">
        <f t="shared" si="23"/>
        <v>0.38</v>
      </c>
      <c r="N42" s="38">
        <f t="shared" si="24"/>
        <v>382.66</v>
      </c>
      <c r="O42" s="7"/>
      <c r="P42" s="254">
        <f t="shared" si="8"/>
        <v>382.66</v>
      </c>
      <c r="Q42" s="255">
        <f t="shared" si="9"/>
        <v>0</v>
      </c>
    </row>
    <row r="43" spans="1:17" ht="46.8" x14ac:dyDescent="0.25">
      <c r="A43" s="22">
        <f>IF(G43&lt;&gt;"",1+MAX($A$2:A42),"")</f>
        <v>26</v>
      </c>
      <c r="B43" s="209" t="s">
        <v>73</v>
      </c>
      <c r="C43" s="157" t="s">
        <v>95</v>
      </c>
      <c r="D43" s="159" t="s">
        <v>94</v>
      </c>
      <c r="E43" s="33" t="s">
        <v>29</v>
      </c>
      <c r="F43" s="35">
        <v>37.69</v>
      </c>
      <c r="G43" s="34">
        <v>0</v>
      </c>
      <c r="H43" s="27">
        <f t="shared" si="27"/>
        <v>37.69</v>
      </c>
      <c r="I43" s="190">
        <v>1.2E-2</v>
      </c>
      <c r="J43" s="223">
        <f t="shared" si="10"/>
        <v>38</v>
      </c>
      <c r="K43" s="36">
        <f t="shared" si="22"/>
        <v>0.45600000000000002</v>
      </c>
      <c r="L43" s="36">
        <v>0</v>
      </c>
      <c r="M43" s="37">
        <f t="shared" si="23"/>
        <v>0.45600000000000002</v>
      </c>
      <c r="N43" s="38">
        <f t="shared" si="24"/>
        <v>17.186640000000001</v>
      </c>
      <c r="P43" s="254">
        <f t="shared" si="8"/>
        <v>17.186640000000001</v>
      </c>
      <c r="Q43" s="255">
        <f t="shared" si="9"/>
        <v>0</v>
      </c>
    </row>
    <row r="44" spans="1:17" ht="31.2" x14ac:dyDescent="0.25">
      <c r="A44" s="22">
        <f>IF(G44&lt;&gt;"",1+MAX($A$2:A43),"")</f>
        <v>27</v>
      </c>
      <c r="B44" s="155" t="s">
        <v>190</v>
      </c>
      <c r="C44" s="158" t="s">
        <v>189</v>
      </c>
      <c r="D44" s="159" t="s">
        <v>385</v>
      </c>
      <c r="E44" s="33" t="s">
        <v>7</v>
      </c>
      <c r="F44" s="35">
        <f>15*2*4</f>
        <v>120</v>
      </c>
      <c r="G44" s="34">
        <v>0</v>
      </c>
      <c r="H44" s="27">
        <f t="shared" si="27"/>
        <v>120</v>
      </c>
      <c r="I44" s="190">
        <v>1.6E-2</v>
      </c>
      <c r="J44" s="223">
        <f t="shared" si="10"/>
        <v>38</v>
      </c>
      <c r="K44" s="36">
        <f t="shared" si="22"/>
        <v>0.60799999999999998</v>
      </c>
      <c r="L44" s="36">
        <v>0</v>
      </c>
      <c r="M44" s="37">
        <f t="shared" si="23"/>
        <v>0.60799999999999998</v>
      </c>
      <c r="N44" s="38">
        <f t="shared" si="24"/>
        <v>72.959999999999994</v>
      </c>
      <c r="P44" s="254">
        <f t="shared" si="8"/>
        <v>72.959999999999994</v>
      </c>
      <c r="Q44" s="255">
        <f t="shared" si="9"/>
        <v>0</v>
      </c>
    </row>
    <row r="45" spans="1:17" ht="31.2" x14ac:dyDescent="0.25">
      <c r="A45" s="66">
        <f>IF(G45&lt;&gt;"",1+MAX($A$2:A44),"")</f>
        <v>28</v>
      </c>
      <c r="B45" s="155" t="s">
        <v>190</v>
      </c>
      <c r="C45" s="210" t="s">
        <v>214</v>
      </c>
      <c r="D45" s="159" t="s">
        <v>386</v>
      </c>
      <c r="E45" s="33" t="s">
        <v>7</v>
      </c>
      <c r="F45" s="35">
        <v>5560</v>
      </c>
      <c r="G45" s="34">
        <v>0</v>
      </c>
      <c r="H45" s="35">
        <f t="shared" si="27"/>
        <v>5560</v>
      </c>
      <c r="I45" s="190">
        <v>1.6E-2</v>
      </c>
      <c r="J45" s="223">
        <f t="shared" si="10"/>
        <v>38</v>
      </c>
      <c r="K45" s="36">
        <f t="shared" si="22"/>
        <v>0.60799999999999998</v>
      </c>
      <c r="L45" s="36">
        <v>0</v>
      </c>
      <c r="M45" s="37">
        <f>+L45+K45</f>
        <v>0.60799999999999998</v>
      </c>
      <c r="N45" s="39">
        <f t="shared" si="24"/>
        <v>3380.48</v>
      </c>
      <c r="P45" s="254">
        <f t="shared" si="8"/>
        <v>3380.48</v>
      </c>
      <c r="Q45" s="255">
        <f t="shared" si="9"/>
        <v>0</v>
      </c>
    </row>
    <row r="46" spans="1:17" ht="18" customHeight="1" x14ac:dyDescent="0.25">
      <c r="A46" s="22">
        <f>IF(G46&lt;&gt;"",1+MAX($A$2:A45),"")</f>
        <v>29</v>
      </c>
      <c r="B46" s="155" t="s">
        <v>190</v>
      </c>
      <c r="C46" s="210" t="s">
        <v>214</v>
      </c>
      <c r="D46" s="159" t="s">
        <v>215</v>
      </c>
      <c r="E46" s="25" t="s">
        <v>7</v>
      </c>
      <c r="F46" s="33">
        <v>550</v>
      </c>
      <c r="G46" s="34">
        <v>0</v>
      </c>
      <c r="H46" s="27">
        <f t="shared" si="27"/>
        <v>550</v>
      </c>
      <c r="I46" s="190">
        <v>8.0000000000000002E-3</v>
      </c>
      <c r="J46" s="223">
        <f t="shared" si="10"/>
        <v>38</v>
      </c>
      <c r="K46" s="36">
        <f t="shared" si="22"/>
        <v>0.30399999999999999</v>
      </c>
      <c r="L46" s="36">
        <v>0</v>
      </c>
      <c r="M46" s="37">
        <f>K46+L46</f>
        <v>0.30399999999999999</v>
      </c>
      <c r="N46" s="38">
        <f t="shared" si="24"/>
        <v>167.2</v>
      </c>
      <c r="O46" s="7"/>
      <c r="P46" s="254">
        <f t="shared" si="8"/>
        <v>167.2</v>
      </c>
      <c r="Q46" s="255">
        <f t="shared" si="9"/>
        <v>0</v>
      </c>
    </row>
    <row r="47" spans="1:17" ht="18" customHeight="1" x14ac:dyDescent="0.25">
      <c r="A47" s="22">
        <f>IF(G47&lt;&gt;"",1+MAX($A$2:A46),"")</f>
        <v>30</v>
      </c>
      <c r="B47" s="209" t="s">
        <v>73</v>
      </c>
      <c r="C47" s="157" t="s">
        <v>78</v>
      </c>
      <c r="D47" s="24" t="s">
        <v>77</v>
      </c>
      <c r="E47" s="33" t="s">
        <v>27</v>
      </c>
      <c r="F47" s="35">
        <v>1</v>
      </c>
      <c r="G47" s="34">
        <v>0</v>
      </c>
      <c r="H47" s="27">
        <f t="shared" si="18"/>
        <v>1</v>
      </c>
      <c r="I47" s="190">
        <v>1</v>
      </c>
      <c r="J47" s="223">
        <f t="shared" si="10"/>
        <v>38</v>
      </c>
      <c r="K47" s="36">
        <f t="shared" si="19"/>
        <v>38</v>
      </c>
      <c r="L47" s="36">
        <v>0</v>
      </c>
      <c r="M47" s="37">
        <f t="shared" si="20"/>
        <v>38</v>
      </c>
      <c r="N47" s="38">
        <f t="shared" si="21"/>
        <v>38</v>
      </c>
      <c r="P47" s="254">
        <f t="shared" si="8"/>
        <v>38</v>
      </c>
      <c r="Q47" s="255">
        <f t="shared" si="9"/>
        <v>0</v>
      </c>
    </row>
    <row r="48" spans="1:17" ht="46.8" x14ac:dyDescent="0.25">
      <c r="A48" s="22">
        <f>IF(G48&lt;&gt;"",1+MAX($A$2:A47),"")</f>
        <v>31</v>
      </c>
      <c r="B48" s="209" t="s">
        <v>109</v>
      </c>
      <c r="C48" s="158" t="s">
        <v>108</v>
      </c>
      <c r="D48" s="159" t="s">
        <v>110</v>
      </c>
      <c r="E48" s="33" t="s">
        <v>27</v>
      </c>
      <c r="F48" s="35">
        <v>4</v>
      </c>
      <c r="G48" s="34">
        <v>0</v>
      </c>
      <c r="H48" s="27">
        <f t="shared" ref="H48" si="28">(G48*F48)+F48</f>
        <v>4</v>
      </c>
      <c r="I48" s="190">
        <v>0.7</v>
      </c>
      <c r="J48" s="223">
        <f t="shared" si="10"/>
        <v>38</v>
      </c>
      <c r="K48" s="36">
        <f t="shared" si="19"/>
        <v>26.599999999999998</v>
      </c>
      <c r="L48" s="36">
        <v>0</v>
      </c>
      <c r="M48" s="37">
        <f t="shared" si="20"/>
        <v>26.599999999999998</v>
      </c>
      <c r="N48" s="38">
        <f t="shared" si="21"/>
        <v>106.39999999999999</v>
      </c>
      <c r="P48" s="254">
        <f t="shared" si="8"/>
        <v>106.39999999999999</v>
      </c>
      <c r="Q48" s="255">
        <f t="shared" si="9"/>
        <v>0</v>
      </c>
    </row>
    <row r="49" spans="1:17" ht="18" customHeight="1" x14ac:dyDescent="0.25">
      <c r="A49" s="22">
        <f>IF(G49&lt;&gt;"",1+MAX($A$2:A48),"")</f>
        <v>32</v>
      </c>
      <c r="B49" s="209" t="s">
        <v>109</v>
      </c>
      <c r="C49" s="158" t="s">
        <v>173</v>
      </c>
      <c r="D49" s="24" t="s">
        <v>361</v>
      </c>
      <c r="E49" s="33" t="s">
        <v>27</v>
      </c>
      <c r="F49" s="35">
        <v>1</v>
      </c>
      <c r="G49" s="34">
        <v>0</v>
      </c>
      <c r="H49" s="27">
        <f t="shared" si="14"/>
        <v>1</v>
      </c>
      <c r="I49" s="190">
        <v>3.85</v>
      </c>
      <c r="J49" s="223">
        <f t="shared" si="10"/>
        <v>38</v>
      </c>
      <c r="K49" s="36">
        <f t="shared" si="15"/>
        <v>146.30000000000001</v>
      </c>
      <c r="L49" s="36">
        <v>0</v>
      </c>
      <c r="M49" s="37">
        <f t="shared" si="16"/>
        <v>146.30000000000001</v>
      </c>
      <c r="N49" s="38">
        <f t="shared" si="17"/>
        <v>146.30000000000001</v>
      </c>
      <c r="O49" s="7"/>
      <c r="P49" s="254">
        <f t="shared" si="8"/>
        <v>146.30000000000001</v>
      </c>
      <c r="Q49" s="255">
        <f t="shared" si="9"/>
        <v>0</v>
      </c>
    </row>
    <row r="50" spans="1:17" ht="31.2" x14ac:dyDescent="0.25">
      <c r="A50" s="22">
        <f>IF(G50&lt;&gt;"",1+MAX($A$2:A49),"")</f>
        <v>33</v>
      </c>
      <c r="B50" s="209" t="s">
        <v>109</v>
      </c>
      <c r="C50" s="158" t="s">
        <v>178</v>
      </c>
      <c r="D50" s="159" t="s">
        <v>179</v>
      </c>
      <c r="E50" s="60" t="s">
        <v>7</v>
      </c>
      <c r="F50" s="35">
        <v>619</v>
      </c>
      <c r="G50" s="34">
        <v>0</v>
      </c>
      <c r="H50" s="27">
        <f>(G50*F50)+F50</f>
        <v>619</v>
      </c>
      <c r="I50" s="190">
        <v>3.2000000000000001E-2</v>
      </c>
      <c r="J50" s="223">
        <f t="shared" si="10"/>
        <v>38</v>
      </c>
      <c r="K50" s="36">
        <f t="shared" si="15"/>
        <v>1.216</v>
      </c>
      <c r="L50" s="36">
        <v>0</v>
      </c>
      <c r="M50" s="37">
        <f t="shared" si="16"/>
        <v>1.216</v>
      </c>
      <c r="N50" s="38">
        <f t="shared" si="17"/>
        <v>752.70399999999995</v>
      </c>
      <c r="P50" s="254">
        <f t="shared" si="8"/>
        <v>752.70399999999995</v>
      </c>
      <c r="Q50" s="255">
        <f t="shared" si="9"/>
        <v>0</v>
      </c>
    </row>
    <row r="51" spans="1:17" ht="31.2" x14ac:dyDescent="0.25">
      <c r="A51" s="22">
        <f>IF(G51&lt;&gt;"",1+MAX($A$2:A50),"")</f>
        <v>34</v>
      </c>
      <c r="B51" s="209" t="s">
        <v>184</v>
      </c>
      <c r="C51" s="158" t="s">
        <v>183</v>
      </c>
      <c r="D51" s="24" t="s">
        <v>182</v>
      </c>
      <c r="E51" s="33" t="s">
        <v>7</v>
      </c>
      <c r="F51" s="35">
        <f>9807.44+7116+9550</f>
        <v>26473.440000000002</v>
      </c>
      <c r="G51" s="34">
        <v>0</v>
      </c>
      <c r="H51" s="27">
        <f t="shared" ref="H51:H52" si="29">(G51*F51)+F51</f>
        <v>26473.440000000002</v>
      </c>
      <c r="I51" s="190">
        <v>0.02</v>
      </c>
      <c r="J51" s="223">
        <f t="shared" si="10"/>
        <v>38</v>
      </c>
      <c r="K51" s="36">
        <f t="shared" si="11"/>
        <v>0.76</v>
      </c>
      <c r="L51" s="36">
        <v>0.2</v>
      </c>
      <c r="M51" s="37">
        <f t="shared" si="12"/>
        <v>0.96</v>
      </c>
      <c r="N51" s="38">
        <f t="shared" si="13"/>
        <v>25414.502400000001</v>
      </c>
      <c r="P51" s="254">
        <f t="shared" si="8"/>
        <v>20119.814400000003</v>
      </c>
      <c r="Q51" s="255">
        <f t="shared" si="9"/>
        <v>5294.688000000001</v>
      </c>
    </row>
    <row r="52" spans="1:17" ht="78" x14ac:dyDescent="0.25">
      <c r="A52" s="22">
        <f>IF(G52&lt;&gt;"",1+MAX($A$2:A51),"")</f>
        <v>35</v>
      </c>
      <c r="B52" s="209" t="s">
        <v>184</v>
      </c>
      <c r="C52" s="158" t="s">
        <v>185</v>
      </c>
      <c r="D52" s="159" t="s">
        <v>186</v>
      </c>
      <c r="E52" s="33" t="s">
        <v>7</v>
      </c>
      <c r="F52" s="35">
        <f>14980+4342</f>
        <v>19322</v>
      </c>
      <c r="G52" s="34">
        <v>0</v>
      </c>
      <c r="H52" s="27">
        <f t="shared" si="29"/>
        <v>19322</v>
      </c>
      <c r="I52" s="190">
        <v>0.02</v>
      </c>
      <c r="J52" s="223">
        <f t="shared" si="10"/>
        <v>38</v>
      </c>
      <c r="K52" s="36">
        <f t="shared" si="11"/>
        <v>0.76</v>
      </c>
      <c r="L52" s="36">
        <v>0.2</v>
      </c>
      <c r="M52" s="37">
        <f t="shared" si="12"/>
        <v>0.96</v>
      </c>
      <c r="N52" s="38">
        <f t="shared" si="13"/>
        <v>18549.12</v>
      </c>
      <c r="O52" s="7"/>
      <c r="P52" s="254">
        <f t="shared" si="8"/>
        <v>14684.72</v>
      </c>
      <c r="Q52" s="255">
        <f t="shared" si="9"/>
        <v>3864.4</v>
      </c>
    </row>
    <row r="53" spans="1:17" ht="15.6" x14ac:dyDescent="0.25">
      <c r="A53" s="22">
        <f>IF(G53&lt;&gt;"",1+MAX($A$2:A52),"")</f>
        <v>36</v>
      </c>
      <c r="B53" s="155" t="s">
        <v>190</v>
      </c>
      <c r="C53" s="210" t="s">
        <v>214</v>
      </c>
      <c r="D53" s="159" t="s">
        <v>363</v>
      </c>
      <c r="E53" s="25" t="s">
        <v>7</v>
      </c>
      <c r="F53" s="25">
        <v>38800</v>
      </c>
      <c r="G53" s="26">
        <v>0</v>
      </c>
      <c r="H53" s="27">
        <f>(G53*F53)+F53</f>
        <v>38800</v>
      </c>
      <c r="I53" s="190">
        <v>5.0000000000000001E-3</v>
      </c>
      <c r="J53" s="223">
        <f t="shared" si="10"/>
        <v>38</v>
      </c>
      <c r="K53" s="28">
        <f>I53*J53</f>
        <v>0.19</v>
      </c>
      <c r="L53" s="28">
        <v>0</v>
      </c>
      <c r="M53" s="29">
        <f>K53+L53</f>
        <v>0.19</v>
      </c>
      <c r="N53" s="30">
        <f>H53*M53</f>
        <v>7372</v>
      </c>
      <c r="O53" s="7"/>
      <c r="P53" s="254">
        <f t="shared" si="8"/>
        <v>7372</v>
      </c>
      <c r="Q53" s="255">
        <f t="shared" si="9"/>
        <v>0</v>
      </c>
    </row>
    <row r="54" spans="1:17" ht="18" customHeight="1" x14ac:dyDescent="0.25">
      <c r="A54" s="22">
        <f>IF(G54&lt;&gt;"",1+MAX($A$2:A53),"")</f>
        <v>37</v>
      </c>
      <c r="B54" s="155" t="s">
        <v>190</v>
      </c>
      <c r="C54" s="210" t="s">
        <v>214</v>
      </c>
      <c r="D54" s="159" t="s">
        <v>216</v>
      </c>
      <c r="E54" s="25" t="s">
        <v>29</v>
      </c>
      <c r="F54" s="33">
        <v>105</v>
      </c>
      <c r="G54" s="34">
        <v>0</v>
      </c>
      <c r="H54" s="27">
        <f t="shared" ref="H54" si="30">(G54*F54)+F54</f>
        <v>105</v>
      </c>
      <c r="I54" s="190">
        <v>1.2E-2</v>
      </c>
      <c r="J54" s="223">
        <f t="shared" si="10"/>
        <v>38</v>
      </c>
      <c r="K54" s="36">
        <f t="shared" si="11"/>
        <v>0.45600000000000002</v>
      </c>
      <c r="L54" s="36">
        <v>0</v>
      </c>
      <c r="M54" s="37">
        <f t="shared" si="12"/>
        <v>0.45600000000000002</v>
      </c>
      <c r="N54" s="38">
        <f t="shared" si="13"/>
        <v>47.88</v>
      </c>
      <c r="O54" s="7"/>
      <c r="P54" s="254">
        <f t="shared" si="8"/>
        <v>47.88</v>
      </c>
      <c r="Q54" s="255">
        <f t="shared" si="9"/>
        <v>0</v>
      </c>
    </row>
    <row r="55" spans="1:17" ht="18" customHeight="1" x14ac:dyDescent="0.25">
      <c r="A55" s="22">
        <f>IF(G55&lt;&gt;"",1+MAX($A$2:A54),"")</f>
        <v>38</v>
      </c>
      <c r="B55" s="209" t="s">
        <v>109</v>
      </c>
      <c r="C55" s="158" t="s">
        <v>174</v>
      </c>
      <c r="D55" s="24" t="s">
        <v>175</v>
      </c>
      <c r="E55" s="33" t="s">
        <v>29</v>
      </c>
      <c r="F55" s="35">
        <v>2847.21</v>
      </c>
      <c r="G55" s="34">
        <v>0</v>
      </c>
      <c r="H55" s="27">
        <f>(G55*F55)+F55</f>
        <v>2847.21</v>
      </c>
      <c r="I55" s="190">
        <v>1.4E-2</v>
      </c>
      <c r="J55" s="223">
        <f t="shared" si="10"/>
        <v>38</v>
      </c>
      <c r="K55" s="36">
        <f>I55*J55</f>
        <v>0.53200000000000003</v>
      </c>
      <c r="L55" s="36">
        <v>0</v>
      </c>
      <c r="M55" s="37">
        <f>K55+L55</f>
        <v>0.53200000000000003</v>
      </c>
      <c r="N55" s="38">
        <f>H55*M55</f>
        <v>1514.7157200000001</v>
      </c>
      <c r="P55" s="254">
        <f t="shared" si="8"/>
        <v>1514.7157200000001</v>
      </c>
      <c r="Q55" s="255">
        <f t="shared" si="9"/>
        <v>0</v>
      </c>
    </row>
    <row r="56" spans="1:17" ht="18" customHeight="1" x14ac:dyDescent="0.25">
      <c r="A56" s="22">
        <f>IF(G56&lt;&gt;"",1+MAX($A$2:A55),"")</f>
        <v>39</v>
      </c>
      <c r="B56" s="209" t="s">
        <v>109</v>
      </c>
      <c r="C56" s="158" t="s">
        <v>177</v>
      </c>
      <c r="D56" s="24" t="s">
        <v>176</v>
      </c>
      <c r="E56" s="33" t="s">
        <v>29</v>
      </c>
      <c r="F56" s="35">
        <v>984.08</v>
      </c>
      <c r="G56" s="34">
        <v>0</v>
      </c>
      <c r="H56" s="27">
        <f>(G56*F56)+F56</f>
        <v>984.08</v>
      </c>
      <c r="I56" s="190">
        <v>1.4E-2</v>
      </c>
      <c r="J56" s="223">
        <f t="shared" si="10"/>
        <v>38</v>
      </c>
      <c r="K56" s="36">
        <f>I56*J56</f>
        <v>0.53200000000000003</v>
      </c>
      <c r="L56" s="36">
        <v>0</v>
      </c>
      <c r="M56" s="37">
        <f>K56+L56</f>
        <v>0.53200000000000003</v>
      </c>
      <c r="N56" s="38">
        <f>H56*M56</f>
        <v>523.53056000000004</v>
      </c>
      <c r="P56" s="254">
        <f t="shared" si="8"/>
        <v>523.53056000000004</v>
      </c>
      <c r="Q56" s="255">
        <f t="shared" si="9"/>
        <v>0</v>
      </c>
    </row>
    <row r="57" spans="1:17" ht="46.95" customHeight="1" x14ac:dyDescent="0.25">
      <c r="A57" s="22">
        <f>IF(G57&lt;&gt;"",1+MAX($A$2:A56),"")</f>
        <v>40</v>
      </c>
      <c r="B57" s="319" t="s">
        <v>255</v>
      </c>
      <c r="C57" s="317" t="s">
        <v>256</v>
      </c>
      <c r="D57" s="159" t="s">
        <v>383</v>
      </c>
      <c r="E57" s="33" t="s">
        <v>7</v>
      </c>
      <c r="F57" s="33">
        <f>1543+1823-2766</f>
        <v>600</v>
      </c>
      <c r="G57" s="34">
        <v>0</v>
      </c>
      <c r="H57" s="27">
        <f t="shared" ref="H57:H58" si="31">(G57*F57)+F57</f>
        <v>600</v>
      </c>
      <c r="I57" s="190">
        <v>1.2999999999999999E-2</v>
      </c>
      <c r="J57" s="223">
        <f t="shared" si="10"/>
        <v>38</v>
      </c>
      <c r="K57" s="36">
        <f t="shared" si="11"/>
        <v>0.49399999999999999</v>
      </c>
      <c r="L57" s="36">
        <v>0</v>
      </c>
      <c r="M57" s="37">
        <f t="shared" si="12"/>
        <v>0.49399999999999999</v>
      </c>
      <c r="N57" s="38">
        <f t="shared" si="13"/>
        <v>296.39999999999998</v>
      </c>
      <c r="P57" s="254">
        <f t="shared" si="8"/>
        <v>296.39999999999998</v>
      </c>
      <c r="Q57" s="255">
        <f t="shared" si="9"/>
        <v>0</v>
      </c>
    </row>
    <row r="58" spans="1:17" ht="18" customHeight="1" x14ac:dyDescent="0.25">
      <c r="A58" s="31">
        <f>IF(G58&lt;&gt;"",1+MAX($A$2:A57),"")</f>
        <v>41</v>
      </c>
      <c r="B58" s="321"/>
      <c r="C58" s="318"/>
      <c r="D58" s="24" t="s">
        <v>257</v>
      </c>
      <c r="E58" s="33" t="s">
        <v>7</v>
      </c>
      <c r="F58" s="35">
        <v>16.3</v>
      </c>
      <c r="G58" s="34">
        <v>0</v>
      </c>
      <c r="H58" s="27">
        <f t="shared" si="31"/>
        <v>16.3</v>
      </c>
      <c r="I58" s="190">
        <v>2.5000000000000001E-2</v>
      </c>
      <c r="J58" s="223">
        <f t="shared" si="10"/>
        <v>38</v>
      </c>
      <c r="K58" s="36">
        <f t="shared" si="11"/>
        <v>0.95000000000000007</v>
      </c>
      <c r="L58" s="36">
        <v>0</v>
      </c>
      <c r="M58" s="37">
        <f t="shared" si="12"/>
        <v>0.95000000000000007</v>
      </c>
      <c r="N58" s="38">
        <f t="shared" si="13"/>
        <v>15.485000000000001</v>
      </c>
      <c r="P58" s="254">
        <f t="shared" si="8"/>
        <v>15.485000000000001</v>
      </c>
      <c r="Q58" s="255">
        <f t="shared" si="9"/>
        <v>0</v>
      </c>
    </row>
    <row r="59" spans="1:17" ht="31.2" x14ac:dyDescent="0.25">
      <c r="A59" s="31" t="str">
        <f>IF(G59&lt;&gt;"",1+MAX($A$2:A58),"")</f>
        <v/>
      </c>
      <c r="B59" s="155"/>
      <c r="C59" s="160"/>
      <c r="D59" s="164" t="s">
        <v>76</v>
      </c>
      <c r="E59" s="33"/>
      <c r="F59" s="95"/>
      <c r="G59" s="34"/>
      <c r="H59" s="27"/>
      <c r="I59" s="190"/>
      <c r="J59" s="223"/>
      <c r="K59" s="36"/>
      <c r="L59" s="36"/>
      <c r="M59" s="37"/>
      <c r="N59" s="38"/>
      <c r="P59" s="254">
        <f t="shared" si="8"/>
        <v>0</v>
      </c>
      <c r="Q59" s="255">
        <f t="shared" si="9"/>
        <v>0</v>
      </c>
    </row>
    <row r="60" spans="1:17" ht="18" customHeight="1" x14ac:dyDescent="0.25">
      <c r="A60" s="31" t="str">
        <f>IF(G60&lt;&gt;"",1+MAX($A$2:A59),"")</f>
        <v/>
      </c>
      <c r="B60" s="155"/>
      <c r="C60" s="158"/>
      <c r="D60" s="165" t="s">
        <v>388</v>
      </c>
      <c r="E60" s="60"/>
      <c r="F60" s="35"/>
      <c r="G60" s="34"/>
      <c r="H60" s="27"/>
      <c r="I60" s="190"/>
      <c r="J60" s="223"/>
      <c r="K60" s="36"/>
      <c r="L60" s="36"/>
      <c r="M60" s="37"/>
      <c r="N60" s="38"/>
      <c r="P60" s="254">
        <f t="shared" si="8"/>
        <v>0</v>
      </c>
      <c r="Q60" s="255">
        <f t="shared" si="9"/>
        <v>0</v>
      </c>
    </row>
    <row r="61" spans="1:17" ht="31.2" x14ac:dyDescent="0.25">
      <c r="A61" s="22">
        <f>IF(G61&lt;&gt;"",1+MAX($A$2:A60),"")</f>
        <v>42</v>
      </c>
      <c r="B61" s="209" t="s">
        <v>184</v>
      </c>
      <c r="C61" s="158" t="s">
        <v>188</v>
      </c>
      <c r="D61" s="24" t="s">
        <v>187</v>
      </c>
      <c r="E61" s="33" t="s">
        <v>7</v>
      </c>
      <c r="F61" s="35">
        <v>1630.64</v>
      </c>
      <c r="G61" s="34">
        <v>0</v>
      </c>
      <c r="H61" s="27">
        <f>(G61*F61)+F61</f>
        <v>1630.64</v>
      </c>
      <c r="I61" s="190">
        <v>0.02</v>
      </c>
      <c r="J61" s="223">
        <f t="shared" ref="J61:J66" si="32">J$24</f>
        <v>38</v>
      </c>
      <c r="K61" s="36">
        <f>I61*J61</f>
        <v>0.76</v>
      </c>
      <c r="L61" s="36">
        <v>0.2</v>
      </c>
      <c r="M61" s="37">
        <f>K61+L61</f>
        <v>0.96</v>
      </c>
      <c r="N61" s="38">
        <f>H61*M61</f>
        <v>1565.4144000000001</v>
      </c>
      <c r="P61" s="254">
        <f t="shared" si="8"/>
        <v>1239.2864000000002</v>
      </c>
      <c r="Q61" s="255">
        <f t="shared" si="9"/>
        <v>326.12800000000004</v>
      </c>
    </row>
    <row r="62" spans="1:17" ht="18" customHeight="1" x14ac:dyDescent="0.25">
      <c r="A62" s="22">
        <f>IF(G62&lt;&gt;"",1+MAX($A$2:A61),"")</f>
        <v>43</v>
      </c>
      <c r="B62" s="155" t="s">
        <v>109</v>
      </c>
      <c r="C62" s="158" t="s">
        <v>81</v>
      </c>
      <c r="D62" s="24" t="s">
        <v>147</v>
      </c>
      <c r="E62" s="33" t="s">
        <v>7</v>
      </c>
      <c r="F62" s="35">
        <v>850</v>
      </c>
      <c r="G62" s="34">
        <v>0</v>
      </c>
      <c r="H62" s="27">
        <f t="shared" ref="H62" si="33">(G62*F62)+F62</f>
        <v>850</v>
      </c>
      <c r="I62" s="190">
        <v>0.01</v>
      </c>
      <c r="J62" s="223">
        <f t="shared" si="32"/>
        <v>38</v>
      </c>
      <c r="K62" s="36">
        <f>I62*J62</f>
        <v>0.38</v>
      </c>
      <c r="L62" s="36">
        <v>0.1</v>
      </c>
      <c r="M62" s="37">
        <f>K62+L62</f>
        <v>0.48</v>
      </c>
      <c r="N62" s="38">
        <f>H62*M62</f>
        <v>408</v>
      </c>
      <c r="P62" s="254">
        <f t="shared" si="8"/>
        <v>323</v>
      </c>
      <c r="Q62" s="255">
        <f t="shared" si="9"/>
        <v>85</v>
      </c>
    </row>
    <row r="63" spans="1:17" ht="18" customHeight="1" x14ac:dyDescent="0.25">
      <c r="A63" s="22">
        <f>IF(G63&lt;&gt;"",1+MAX($A$2:A62),"")</f>
        <v>44</v>
      </c>
      <c r="B63" s="155" t="s">
        <v>190</v>
      </c>
      <c r="C63" s="210" t="s">
        <v>214</v>
      </c>
      <c r="D63" s="159" t="s">
        <v>217</v>
      </c>
      <c r="E63" s="25" t="s">
        <v>7</v>
      </c>
      <c r="F63" s="33">
        <v>252</v>
      </c>
      <c r="G63" s="34">
        <v>0</v>
      </c>
      <c r="H63" s="27">
        <f>(G63*F63)+F63</f>
        <v>252</v>
      </c>
      <c r="I63" s="190">
        <v>1.4999999999999999E-2</v>
      </c>
      <c r="J63" s="223">
        <f t="shared" si="32"/>
        <v>38</v>
      </c>
      <c r="K63" s="36">
        <f>I63*J63</f>
        <v>0.56999999999999995</v>
      </c>
      <c r="L63" s="36">
        <v>0.45</v>
      </c>
      <c r="M63" s="37">
        <f>K63+L63</f>
        <v>1.02</v>
      </c>
      <c r="N63" s="38">
        <f>H63*M63</f>
        <v>257.04000000000002</v>
      </c>
      <c r="O63" s="7"/>
      <c r="P63" s="254">
        <f t="shared" si="8"/>
        <v>143.63999999999999</v>
      </c>
      <c r="Q63" s="255">
        <f t="shared" si="9"/>
        <v>113.4</v>
      </c>
    </row>
    <row r="64" spans="1:17" ht="18" customHeight="1" x14ac:dyDescent="0.25">
      <c r="A64" s="31">
        <f>IF(G64&lt;&gt;"",1+MAX($A$2:A63),"")</f>
        <v>45</v>
      </c>
      <c r="B64" s="319" t="s">
        <v>258</v>
      </c>
      <c r="C64" s="317" t="s">
        <v>81</v>
      </c>
      <c r="D64" s="24" t="s">
        <v>259</v>
      </c>
      <c r="E64" s="25" t="s">
        <v>7</v>
      </c>
      <c r="F64" s="25">
        <f>32*3+23</f>
        <v>119</v>
      </c>
      <c r="G64" s="26">
        <v>0</v>
      </c>
      <c r="H64" s="27">
        <f>(G64*F64)+F64</f>
        <v>119</v>
      </c>
      <c r="I64" s="190">
        <v>4.4999999999999998E-2</v>
      </c>
      <c r="J64" s="223">
        <f t="shared" si="32"/>
        <v>38</v>
      </c>
      <c r="K64" s="28">
        <f t="shared" si="11"/>
        <v>1.71</v>
      </c>
      <c r="L64" s="28">
        <v>1.2</v>
      </c>
      <c r="M64" s="29">
        <f t="shared" si="12"/>
        <v>2.91</v>
      </c>
      <c r="N64" s="30">
        <f t="shared" si="13"/>
        <v>346.29</v>
      </c>
      <c r="P64" s="254">
        <f t="shared" si="8"/>
        <v>203.49</v>
      </c>
      <c r="Q64" s="255">
        <f t="shared" si="9"/>
        <v>142.79999999999998</v>
      </c>
    </row>
    <row r="65" spans="1:17" ht="18" customHeight="1" x14ac:dyDescent="0.25">
      <c r="A65" s="31">
        <f>IF(G65&lt;&gt;"",1+MAX($A$2:A64),"")</f>
        <v>46</v>
      </c>
      <c r="B65" s="321"/>
      <c r="C65" s="322"/>
      <c r="D65" s="24" t="s">
        <v>260</v>
      </c>
      <c r="E65" s="25" t="s">
        <v>7</v>
      </c>
      <c r="F65" s="25">
        <v>12</v>
      </c>
      <c r="G65" s="26">
        <v>0</v>
      </c>
      <c r="H65" s="27">
        <f>(G65*F65)+F65</f>
        <v>12</v>
      </c>
      <c r="I65" s="190">
        <v>2.8000000000000001E-2</v>
      </c>
      <c r="J65" s="223">
        <f t="shared" si="32"/>
        <v>38</v>
      </c>
      <c r="K65" s="28">
        <f t="shared" si="11"/>
        <v>1.0640000000000001</v>
      </c>
      <c r="L65" s="28">
        <v>2.5</v>
      </c>
      <c r="M65" s="29">
        <f t="shared" si="12"/>
        <v>3.5640000000000001</v>
      </c>
      <c r="N65" s="30">
        <f t="shared" si="13"/>
        <v>42.768000000000001</v>
      </c>
      <c r="P65" s="254">
        <f t="shared" si="8"/>
        <v>12.768000000000001</v>
      </c>
      <c r="Q65" s="255">
        <f t="shared" si="9"/>
        <v>30</v>
      </c>
    </row>
    <row r="66" spans="1:17" ht="18" customHeight="1" x14ac:dyDescent="0.25">
      <c r="A66" s="31">
        <f>IF(G66&lt;&gt;"",1+MAX($A$2:A65),"")</f>
        <v>47</v>
      </c>
      <c r="B66" s="184" t="s">
        <v>230</v>
      </c>
      <c r="C66" s="318"/>
      <c r="D66" s="24" t="s">
        <v>360</v>
      </c>
      <c r="E66" s="25" t="s">
        <v>27</v>
      </c>
      <c r="F66" s="25">
        <v>1</v>
      </c>
      <c r="G66" s="26">
        <v>0</v>
      </c>
      <c r="H66" s="27">
        <f>(G66*F66)+F66</f>
        <v>1</v>
      </c>
      <c r="I66" s="190">
        <v>1</v>
      </c>
      <c r="J66" s="223">
        <f t="shared" si="32"/>
        <v>38</v>
      </c>
      <c r="K66" s="28">
        <f t="shared" ref="K66" si="34">I66*J66</f>
        <v>38</v>
      </c>
      <c r="L66" s="28">
        <v>0</v>
      </c>
      <c r="M66" s="29">
        <f t="shared" ref="M66" si="35">K66+L66</f>
        <v>38</v>
      </c>
      <c r="N66" s="30">
        <f t="shared" ref="N66" si="36">H66*M66</f>
        <v>38</v>
      </c>
      <c r="P66" s="254">
        <f t="shared" si="8"/>
        <v>38</v>
      </c>
      <c r="Q66" s="255">
        <f t="shared" si="9"/>
        <v>0</v>
      </c>
    </row>
    <row r="67" spans="1:17" ht="15.6" x14ac:dyDescent="0.25">
      <c r="A67" s="31" t="str">
        <f>IF(G67&lt;&gt;"",1+MAX($A$2:A66),"")</f>
        <v/>
      </c>
      <c r="B67" s="155"/>
      <c r="C67" s="160"/>
      <c r="D67" s="166"/>
      <c r="E67" s="60"/>
      <c r="F67" s="95"/>
      <c r="G67" s="34"/>
      <c r="H67" s="27"/>
      <c r="I67" s="190"/>
      <c r="J67" s="223"/>
      <c r="K67" s="36"/>
      <c r="L67" s="36"/>
      <c r="M67" s="37"/>
      <c r="N67" s="38"/>
      <c r="P67" s="254">
        <f t="shared" si="8"/>
        <v>0</v>
      </c>
      <c r="Q67" s="255">
        <f t="shared" si="9"/>
        <v>0</v>
      </c>
    </row>
    <row r="68" spans="1:17" ht="18" customHeight="1" x14ac:dyDescent="0.25">
      <c r="A68" s="31" t="str">
        <f>IF(G68&lt;&gt;"",1+MAX($A$2:A67),"")</f>
        <v/>
      </c>
      <c r="B68" s="155"/>
      <c r="C68" s="158"/>
      <c r="D68" s="165" t="s">
        <v>90</v>
      </c>
      <c r="E68" s="60"/>
      <c r="F68" s="35"/>
      <c r="G68" s="34"/>
      <c r="H68" s="27"/>
      <c r="I68" s="190"/>
      <c r="J68" s="223"/>
      <c r="K68" s="36"/>
      <c r="L68" s="36"/>
      <c r="M68" s="37"/>
      <c r="N68" s="38"/>
      <c r="P68" s="254">
        <f t="shared" si="8"/>
        <v>0</v>
      </c>
      <c r="Q68" s="255">
        <f t="shared" si="9"/>
        <v>0</v>
      </c>
    </row>
    <row r="69" spans="1:17" ht="18" customHeight="1" x14ac:dyDescent="0.25">
      <c r="A69" s="31">
        <f>IF(G69&lt;&gt;"",1+MAX($A$2:A68),"")</f>
        <v>48</v>
      </c>
      <c r="B69" s="319" t="s">
        <v>73</v>
      </c>
      <c r="C69" s="158" t="s">
        <v>81</v>
      </c>
      <c r="D69" s="24" t="s">
        <v>80</v>
      </c>
      <c r="E69" s="60" t="s">
        <v>27</v>
      </c>
      <c r="F69" s="35">
        <v>1</v>
      </c>
      <c r="G69" s="34">
        <v>0</v>
      </c>
      <c r="H69" s="27">
        <f>(G69*F69)+F69</f>
        <v>1</v>
      </c>
      <c r="I69" s="190">
        <v>0.85</v>
      </c>
      <c r="J69" s="223">
        <f t="shared" ref="J69:J75" si="37">J$24</f>
        <v>38</v>
      </c>
      <c r="K69" s="36">
        <f t="shared" si="11"/>
        <v>32.299999999999997</v>
      </c>
      <c r="L69" s="36">
        <v>0</v>
      </c>
      <c r="M69" s="37">
        <f t="shared" si="12"/>
        <v>32.299999999999997</v>
      </c>
      <c r="N69" s="38">
        <f t="shared" si="13"/>
        <v>32.299999999999997</v>
      </c>
      <c r="P69" s="254">
        <f t="shared" si="8"/>
        <v>32.299999999999997</v>
      </c>
      <c r="Q69" s="255">
        <f t="shared" si="9"/>
        <v>0</v>
      </c>
    </row>
    <row r="70" spans="1:17" ht="18" customHeight="1" x14ac:dyDescent="0.25">
      <c r="A70" s="31">
        <f>IF(G70&lt;&gt;"",1+MAX($A$2:A69),"")</f>
        <v>49</v>
      </c>
      <c r="B70" s="320"/>
      <c r="C70" s="158" t="s">
        <v>81</v>
      </c>
      <c r="D70" s="24" t="s">
        <v>82</v>
      </c>
      <c r="E70" s="33" t="s">
        <v>27</v>
      </c>
      <c r="F70" s="35">
        <v>1</v>
      </c>
      <c r="G70" s="34">
        <v>0</v>
      </c>
      <c r="H70" s="27">
        <f t="shared" ref="H70:H73" si="38">(G70*F70)+F70</f>
        <v>1</v>
      </c>
      <c r="I70" s="190">
        <v>0.65</v>
      </c>
      <c r="J70" s="223">
        <f t="shared" si="37"/>
        <v>38</v>
      </c>
      <c r="K70" s="36">
        <f t="shared" ref="K70:K74" si="39">I70*J70</f>
        <v>24.7</v>
      </c>
      <c r="L70" s="36">
        <v>0</v>
      </c>
      <c r="M70" s="37">
        <f t="shared" ref="M70:M74" si="40">K70+L70</f>
        <v>24.7</v>
      </c>
      <c r="N70" s="38">
        <f t="shared" ref="N70:N74" si="41">H70*M70</f>
        <v>24.7</v>
      </c>
      <c r="P70" s="254">
        <f t="shared" si="8"/>
        <v>24.7</v>
      </c>
      <c r="Q70" s="255">
        <f t="shared" si="9"/>
        <v>0</v>
      </c>
    </row>
    <row r="71" spans="1:17" ht="18" customHeight="1" x14ac:dyDescent="0.25">
      <c r="A71" s="31">
        <f>IF(G71&lt;&gt;"",1+MAX($A$2:A70),"")</f>
        <v>50</v>
      </c>
      <c r="B71" s="320"/>
      <c r="C71" s="158" t="s">
        <v>85</v>
      </c>
      <c r="D71" s="24" t="s">
        <v>86</v>
      </c>
      <c r="E71" s="33" t="s">
        <v>27</v>
      </c>
      <c r="F71" s="35">
        <v>1</v>
      </c>
      <c r="G71" s="34">
        <v>0</v>
      </c>
      <c r="H71" s="27">
        <f t="shared" si="38"/>
        <v>1</v>
      </c>
      <c r="I71" s="190">
        <v>0.32</v>
      </c>
      <c r="J71" s="223">
        <f t="shared" si="37"/>
        <v>38</v>
      </c>
      <c r="K71" s="36">
        <f t="shared" si="39"/>
        <v>12.16</v>
      </c>
      <c r="L71" s="36">
        <v>0</v>
      </c>
      <c r="M71" s="37">
        <f t="shared" si="40"/>
        <v>12.16</v>
      </c>
      <c r="N71" s="38">
        <f t="shared" si="41"/>
        <v>12.16</v>
      </c>
      <c r="O71" s="7"/>
      <c r="P71" s="254">
        <f t="shared" si="8"/>
        <v>12.16</v>
      </c>
      <c r="Q71" s="255">
        <f t="shared" si="9"/>
        <v>0</v>
      </c>
    </row>
    <row r="72" spans="1:17" ht="18" customHeight="1" x14ac:dyDescent="0.25">
      <c r="A72" s="22">
        <f>IF(G72&lt;&gt;"",1+MAX($A$2:A71),"")</f>
        <v>51</v>
      </c>
      <c r="B72" s="320"/>
      <c r="C72" s="158" t="s">
        <v>87</v>
      </c>
      <c r="D72" s="24" t="s">
        <v>88</v>
      </c>
      <c r="E72" s="33" t="s">
        <v>27</v>
      </c>
      <c r="F72" s="35">
        <v>5</v>
      </c>
      <c r="G72" s="34">
        <v>0</v>
      </c>
      <c r="H72" s="27">
        <f t="shared" si="38"/>
        <v>5</v>
      </c>
      <c r="I72" s="190">
        <v>0.3</v>
      </c>
      <c r="J72" s="223">
        <f t="shared" si="37"/>
        <v>38</v>
      </c>
      <c r="K72" s="36">
        <f t="shared" si="39"/>
        <v>11.4</v>
      </c>
      <c r="L72" s="36">
        <v>0</v>
      </c>
      <c r="M72" s="37">
        <f t="shared" si="40"/>
        <v>11.4</v>
      </c>
      <c r="N72" s="38">
        <f t="shared" si="41"/>
        <v>57</v>
      </c>
      <c r="P72" s="254">
        <f t="shared" si="8"/>
        <v>57</v>
      </c>
      <c r="Q72" s="255">
        <f t="shared" si="9"/>
        <v>0</v>
      </c>
    </row>
    <row r="73" spans="1:17" ht="18" customHeight="1" x14ac:dyDescent="0.25">
      <c r="A73" s="22">
        <f>IF(G73&lt;&gt;"",1+MAX($A$2:A72),"")</f>
        <v>52</v>
      </c>
      <c r="B73" s="321"/>
      <c r="C73" s="158" t="s">
        <v>81</v>
      </c>
      <c r="D73" s="24" t="s">
        <v>96</v>
      </c>
      <c r="E73" s="33" t="s">
        <v>27</v>
      </c>
      <c r="F73" s="35">
        <v>1</v>
      </c>
      <c r="G73" s="34">
        <v>0</v>
      </c>
      <c r="H73" s="27">
        <f t="shared" si="38"/>
        <v>1</v>
      </c>
      <c r="I73" s="190">
        <v>0.5</v>
      </c>
      <c r="J73" s="223">
        <f t="shared" si="37"/>
        <v>38</v>
      </c>
      <c r="K73" s="36">
        <f t="shared" si="39"/>
        <v>19</v>
      </c>
      <c r="L73" s="36">
        <v>0</v>
      </c>
      <c r="M73" s="37">
        <f t="shared" si="40"/>
        <v>19</v>
      </c>
      <c r="N73" s="38">
        <f t="shared" si="41"/>
        <v>19</v>
      </c>
      <c r="P73" s="254">
        <f t="shared" si="8"/>
        <v>19</v>
      </c>
      <c r="Q73" s="255">
        <f t="shared" si="9"/>
        <v>0</v>
      </c>
    </row>
    <row r="74" spans="1:17" ht="18" customHeight="1" x14ac:dyDescent="0.25">
      <c r="A74" s="22">
        <f>IF(G74&lt;&gt;"",1+MAX($A$2:A73),"")</f>
        <v>53</v>
      </c>
      <c r="B74" s="155" t="s">
        <v>109</v>
      </c>
      <c r="C74" s="158" t="s">
        <v>146</v>
      </c>
      <c r="D74" s="24" t="s">
        <v>299</v>
      </c>
      <c r="E74" s="60" t="s">
        <v>27</v>
      </c>
      <c r="F74" s="35">
        <v>1</v>
      </c>
      <c r="G74" s="34">
        <v>0</v>
      </c>
      <c r="H74" s="27">
        <f>(G74*F74)+F74</f>
        <v>1</v>
      </c>
      <c r="I74" s="190">
        <v>0.22</v>
      </c>
      <c r="J74" s="223">
        <f t="shared" si="37"/>
        <v>38</v>
      </c>
      <c r="K74" s="36">
        <f t="shared" si="39"/>
        <v>8.36</v>
      </c>
      <c r="L74" s="36">
        <v>0</v>
      </c>
      <c r="M74" s="37">
        <f t="shared" si="40"/>
        <v>8.36</v>
      </c>
      <c r="N74" s="38">
        <f t="shared" si="41"/>
        <v>8.36</v>
      </c>
      <c r="P74" s="254">
        <f t="shared" si="8"/>
        <v>8.36</v>
      </c>
      <c r="Q74" s="255">
        <f t="shared" si="9"/>
        <v>0</v>
      </c>
    </row>
    <row r="75" spans="1:17" ht="46.8" x14ac:dyDescent="0.25">
      <c r="A75" s="22">
        <f>IF(G75&lt;&gt;"",1+MAX($A$2:A74),"")</f>
        <v>54</v>
      </c>
      <c r="B75" s="155" t="s">
        <v>190</v>
      </c>
      <c r="C75" s="158" t="s">
        <v>81</v>
      </c>
      <c r="D75" s="159" t="s">
        <v>391</v>
      </c>
      <c r="E75" s="33" t="s">
        <v>27</v>
      </c>
      <c r="F75" s="35">
        <v>1</v>
      </c>
      <c r="G75" s="34">
        <v>0</v>
      </c>
      <c r="H75" s="27">
        <f t="shared" ref="H75:H78" si="42">(G75*F75)+F75</f>
        <v>1</v>
      </c>
      <c r="I75" s="190">
        <v>0</v>
      </c>
      <c r="J75" s="223">
        <f t="shared" si="37"/>
        <v>38</v>
      </c>
      <c r="K75" s="36">
        <f t="shared" si="11"/>
        <v>0</v>
      </c>
      <c r="L75" s="36">
        <v>0</v>
      </c>
      <c r="M75" s="37">
        <v>500</v>
      </c>
      <c r="N75" s="38">
        <f t="shared" si="13"/>
        <v>500</v>
      </c>
      <c r="P75" s="254">
        <f t="shared" si="8"/>
        <v>0</v>
      </c>
      <c r="Q75" s="255">
        <f t="shared" si="9"/>
        <v>0</v>
      </c>
    </row>
    <row r="76" spans="1:17" ht="78" x14ac:dyDescent="0.25">
      <c r="A76" s="22" t="str">
        <f>IF(G76&lt;&gt;"",1+MAX($A$2:A75),"")</f>
        <v/>
      </c>
      <c r="B76" s="155"/>
      <c r="C76" s="160"/>
      <c r="D76" s="164" t="s">
        <v>89</v>
      </c>
      <c r="E76" s="33"/>
      <c r="F76" s="95"/>
      <c r="G76" s="34"/>
      <c r="H76" s="27"/>
      <c r="I76" s="190"/>
      <c r="J76" s="223"/>
      <c r="K76" s="36"/>
      <c r="L76" s="36"/>
      <c r="M76" s="37"/>
      <c r="N76" s="38"/>
      <c r="P76" s="254">
        <f t="shared" si="8"/>
        <v>0</v>
      </c>
      <c r="Q76" s="255">
        <f t="shared" si="9"/>
        <v>0</v>
      </c>
    </row>
    <row r="77" spans="1:17" ht="18" customHeight="1" x14ac:dyDescent="0.25">
      <c r="A77" s="22" t="str">
        <f>IF(G77&lt;&gt;"",1+MAX($A$2:A76),"")</f>
        <v/>
      </c>
      <c r="B77" s="155"/>
      <c r="C77" s="156"/>
      <c r="D77" s="56" t="s">
        <v>100</v>
      </c>
      <c r="E77" s="57"/>
      <c r="F77" s="95"/>
      <c r="G77" s="34"/>
      <c r="H77" s="27"/>
      <c r="I77" s="65"/>
      <c r="J77" s="226"/>
      <c r="K77" s="59"/>
      <c r="L77" s="59"/>
      <c r="M77" s="37"/>
      <c r="N77" s="38"/>
      <c r="P77" s="254">
        <f t="shared" si="8"/>
        <v>0</v>
      </c>
      <c r="Q77" s="255">
        <f t="shared" si="9"/>
        <v>0</v>
      </c>
    </row>
    <row r="78" spans="1:17" ht="31.2" x14ac:dyDescent="0.25">
      <c r="A78" s="22">
        <f>IF(G78&lt;&gt;"",1+MAX($A$2:A77),"")</f>
        <v>55</v>
      </c>
      <c r="B78" s="155" t="s">
        <v>109</v>
      </c>
      <c r="C78" s="157" t="s">
        <v>81</v>
      </c>
      <c r="D78" s="159" t="s">
        <v>101</v>
      </c>
      <c r="E78" s="25" t="s">
        <v>7</v>
      </c>
      <c r="F78" s="27">
        <f>11.56*3</f>
        <v>34.68</v>
      </c>
      <c r="G78" s="26">
        <v>0</v>
      </c>
      <c r="H78" s="27">
        <f t="shared" si="42"/>
        <v>34.68</v>
      </c>
      <c r="I78" s="190">
        <v>0.13200000000000001</v>
      </c>
      <c r="J78" s="223">
        <f>J$24</f>
        <v>38</v>
      </c>
      <c r="K78" s="28">
        <f t="shared" ref="K78" si="43">I78*J78</f>
        <v>5.016</v>
      </c>
      <c r="L78" s="28">
        <v>0</v>
      </c>
      <c r="M78" s="29">
        <f>K78+L78</f>
        <v>5.016</v>
      </c>
      <c r="N78" s="30">
        <f t="shared" ref="N78" si="44">H78*M78</f>
        <v>173.95488</v>
      </c>
      <c r="P78" s="254">
        <f t="shared" si="8"/>
        <v>173.95488</v>
      </c>
      <c r="Q78" s="255">
        <f t="shared" si="9"/>
        <v>0</v>
      </c>
    </row>
    <row r="79" spans="1:17" ht="18" customHeight="1" x14ac:dyDescent="0.25">
      <c r="A79" s="55" t="str">
        <f>IF(G79&lt;&gt;"",1+MAX($A$2:A78),"")</f>
        <v/>
      </c>
      <c r="B79" s="274"/>
      <c r="C79" s="275"/>
      <c r="D79" s="56" t="s">
        <v>399</v>
      </c>
      <c r="E79" s="57"/>
      <c r="F79" s="58"/>
      <c r="G79" s="34"/>
      <c r="H79" s="35"/>
      <c r="I79" s="65"/>
      <c r="J79" s="35"/>
      <c r="K79" s="59"/>
      <c r="L79" s="59"/>
      <c r="M79" s="37"/>
      <c r="N79" s="38"/>
      <c r="P79" s="254">
        <f t="shared" ref="P79:P84" si="45">K79*H79</f>
        <v>0</v>
      </c>
      <c r="Q79" s="255">
        <f t="shared" ref="Q79:Q84" si="46">L79*H79</f>
        <v>0</v>
      </c>
    </row>
    <row r="80" spans="1:17" ht="31.2" x14ac:dyDescent="0.25">
      <c r="A80" s="22">
        <f>IF(G80&lt;&gt;"",1+MAX($A$2:A79),"")</f>
        <v>56</v>
      </c>
      <c r="B80" s="319" t="s">
        <v>394</v>
      </c>
      <c r="C80" s="23"/>
      <c r="D80" s="159" t="s">
        <v>395</v>
      </c>
      <c r="E80" s="25" t="s">
        <v>7</v>
      </c>
      <c r="F80" s="25">
        <v>400</v>
      </c>
      <c r="G80" s="26">
        <v>0</v>
      </c>
      <c r="H80" s="27">
        <f>(G80*F80)+F80</f>
        <v>400</v>
      </c>
      <c r="I80" s="190">
        <v>1.2E-2</v>
      </c>
      <c r="J80" s="223">
        <f>J$24</f>
        <v>38</v>
      </c>
      <c r="K80" s="28">
        <f t="shared" ref="K80" si="47">I80*J80</f>
        <v>0.45600000000000002</v>
      </c>
      <c r="L80" s="28">
        <v>0</v>
      </c>
      <c r="M80" s="29">
        <f t="shared" ref="M80" si="48">K80+L80</f>
        <v>0.45600000000000002</v>
      </c>
      <c r="N80" s="30">
        <f t="shared" ref="N80" si="49">H80*M80</f>
        <v>182.4</v>
      </c>
      <c r="P80" s="254">
        <f t="shared" si="45"/>
        <v>182.4</v>
      </c>
      <c r="Q80" s="255">
        <f t="shared" si="46"/>
        <v>0</v>
      </c>
    </row>
    <row r="81" spans="1:18" ht="18" customHeight="1" x14ac:dyDescent="0.25">
      <c r="A81" s="55" t="str">
        <f>IF(G81&lt;&gt;"",1+MAX($A$2:A80),"")</f>
        <v/>
      </c>
      <c r="B81" s="320"/>
      <c r="C81" s="275"/>
      <c r="D81" s="56" t="s">
        <v>396</v>
      </c>
      <c r="E81" s="57"/>
      <c r="F81" s="58"/>
      <c r="G81" s="34"/>
      <c r="H81" s="27"/>
      <c r="I81" s="65"/>
      <c r="J81" s="35"/>
      <c r="K81" s="59"/>
      <c r="L81" s="59"/>
      <c r="M81" s="37"/>
      <c r="N81" s="38"/>
      <c r="P81" s="254">
        <f t="shared" si="45"/>
        <v>0</v>
      </c>
      <c r="Q81" s="255">
        <f t="shared" si="46"/>
        <v>0</v>
      </c>
    </row>
    <row r="82" spans="1:18" ht="18" customHeight="1" x14ac:dyDescent="0.25">
      <c r="A82" s="22">
        <f>IF(G82&lt;&gt;"",1+MAX($A$2:A81),"")</f>
        <v>57</v>
      </c>
      <c r="B82" s="320"/>
      <c r="C82" s="23"/>
      <c r="D82" s="24" t="s">
        <v>397</v>
      </c>
      <c r="E82" s="25" t="s">
        <v>27</v>
      </c>
      <c r="F82" s="25">
        <v>3</v>
      </c>
      <c r="G82" s="26">
        <v>0</v>
      </c>
      <c r="H82" s="27">
        <f t="shared" ref="H82:H83" si="50">(G82*F82)+F82</f>
        <v>3</v>
      </c>
      <c r="I82" s="190">
        <v>1.92</v>
      </c>
      <c r="J82" s="223">
        <f t="shared" ref="J82:J83" si="51">J$24</f>
        <v>38</v>
      </c>
      <c r="K82" s="28">
        <f t="shared" ref="K82:K83" si="52">I82*J82</f>
        <v>72.959999999999994</v>
      </c>
      <c r="L82" s="28">
        <v>0</v>
      </c>
      <c r="M82" s="29">
        <f t="shared" ref="M82:M83" si="53">K82+L82</f>
        <v>72.959999999999994</v>
      </c>
      <c r="N82" s="30">
        <f t="shared" ref="N82:N83" si="54">H82*M82</f>
        <v>218.88</v>
      </c>
      <c r="P82" s="254">
        <f t="shared" si="45"/>
        <v>218.88</v>
      </c>
      <c r="Q82" s="255">
        <f t="shared" si="46"/>
        <v>0</v>
      </c>
    </row>
    <row r="83" spans="1:18" ht="18" customHeight="1" x14ac:dyDescent="0.25">
      <c r="A83" s="31">
        <f>IF(G83&lt;&gt;"",1+MAX($A$2:A82),"")</f>
        <v>58</v>
      </c>
      <c r="B83" s="321"/>
      <c r="C83" s="32"/>
      <c r="D83" s="24" t="s">
        <v>398</v>
      </c>
      <c r="E83" s="33" t="s">
        <v>27</v>
      </c>
      <c r="F83" s="33">
        <v>3</v>
      </c>
      <c r="G83" s="34">
        <v>0</v>
      </c>
      <c r="H83" s="27">
        <f t="shared" si="50"/>
        <v>3</v>
      </c>
      <c r="I83" s="190">
        <v>1.92</v>
      </c>
      <c r="J83" s="223">
        <f t="shared" si="51"/>
        <v>38</v>
      </c>
      <c r="K83" s="36">
        <f t="shared" si="52"/>
        <v>72.959999999999994</v>
      </c>
      <c r="L83" s="36">
        <v>0</v>
      </c>
      <c r="M83" s="37">
        <f t="shared" si="53"/>
        <v>72.959999999999994</v>
      </c>
      <c r="N83" s="38">
        <f t="shared" si="54"/>
        <v>218.88</v>
      </c>
      <c r="P83" s="254">
        <f t="shared" si="45"/>
        <v>218.88</v>
      </c>
      <c r="Q83" s="255">
        <f t="shared" si="46"/>
        <v>0</v>
      </c>
    </row>
    <row r="84" spans="1:18" s="1" customFormat="1" ht="31.2" x14ac:dyDescent="0.25">
      <c r="A84" s="40" t="str">
        <f>IF(G84&lt;&gt;"",1+MAX($A$2:A78),"")</f>
        <v/>
      </c>
      <c r="B84" s="41"/>
      <c r="C84" s="41"/>
      <c r="D84" s="41"/>
      <c r="E84" s="41"/>
      <c r="F84" s="41"/>
      <c r="G84" s="41"/>
      <c r="H84" s="41"/>
      <c r="I84" s="245"/>
      <c r="J84" s="224"/>
      <c r="K84" s="42"/>
      <c r="L84" s="42"/>
      <c r="M84" s="43" t="s">
        <v>19</v>
      </c>
      <c r="N84" s="44">
        <f>SUM(N24:N83)</f>
        <v>153052.57400000002</v>
      </c>
      <c r="O84" s="4"/>
      <c r="P84" s="254">
        <f t="shared" si="45"/>
        <v>0</v>
      </c>
      <c r="Q84" s="255">
        <f t="shared" si="46"/>
        <v>0</v>
      </c>
      <c r="R84" s="4"/>
    </row>
    <row r="85" spans="1:18" ht="15.6" x14ac:dyDescent="0.25">
      <c r="A85" s="45" t="str">
        <f>IF(G85&lt;&gt;"",1+MAX($A$2:A84),"")</f>
        <v/>
      </c>
      <c r="B85" s="134"/>
      <c r="C85" s="134"/>
      <c r="D85" s="134"/>
      <c r="E85" s="136"/>
      <c r="F85" s="136"/>
      <c r="G85" s="134"/>
      <c r="H85" s="134"/>
      <c r="I85" s="246"/>
      <c r="J85" s="225"/>
      <c r="K85" s="46"/>
      <c r="L85" s="46"/>
      <c r="M85" s="135"/>
      <c r="N85" s="47"/>
      <c r="P85" s="254">
        <f t="shared" si="8"/>
        <v>0</v>
      </c>
      <c r="Q85" s="255">
        <f t="shared" si="9"/>
        <v>0</v>
      </c>
    </row>
    <row r="86" spans="1:18" ht="18" customHeight="1" x14ac:dyDescent="0.25">
      <c r="A86" s="48" t="str">
        <f>IF(G86&lt;&gt;"",1+MAX($A$2:A85),"")</f>
        <v/>
      </c>
      <c r="B86" s="49"/>
      <c r="C86" s="49"/>
      <c r="D86" s="50"/>
      <c r="E86" s="51" t="s">
        <v>36</v>
      </c>
      <c r="F86" s="52"/>
      <c r="G86" s="52"/>
      <c r="H86" s="52"/>
      <c r="I86" s="244"/>
      <c r="J86" s="222"/>
      <c r="K86" s="52"/>
      <c r="L86" s="52"/>
      <c r="M86" s="53"/>
      <c r="N86" s="54"/>
      <c r="O86" s="7"/>
      <c r="P86" s="254">
        <f t="shared" si="8"/>
        <v>0</v>
      </c>
      <c r="Q86" s="255">
        <f t="shared" si="9"/>
        <v>0</v>
      </c>
      <c r="R86" s="7"/>
    </row>
    <row r="87" spans="1:18" ht="18" customHeight="1" x14ac:dyDescent="0.3">
      <c r="A87" s="85" t="str">
        <f>IF(G87&lt;&gt;"",1+MAX($A$2:A86),"")</f>
        <v/>
      </c>
      <c r="B87" s="171"/>
      <c r="C87" s="172"/>
      <c r="D87" s="56" t="s">
        <v>191</v>
      </c>
      <c r="E87" s="126"/>
      <c r="F87" s="63"/>
      <c r="G87" s="64"/>
      <c r="H87" s="35"/>
      <c r="I87" s="65"/>
      <c r="J87" s="226"/>
      <c r="K87" s="59"/>
      <c r="L87" s="59"/>
      <c r="M87" s="37"/>
      <c r="N87" s="39"/>
      <c r="O87" s="7"/>
      <c r="P87" s="254">
        <f t="shared" si="8"/>
        <v>0</v>
      </c>
      <c r="Q87" s="255">
        <f t="shared" si="9"/>
        <v>0</v>
      </c>
      <c r="R87" s="7"/>
    </row>
    <row r="88" spans="1:18" ht="18" customHeight="1" x14ac:dyDescent="0.25">
      <c r="A88" s="66" t="str">
        <f>IF(G88&lt;&gt;"",1+MAX($A$2:A87),"")</f>
        <v/>
      </c>
      <c r="B88" s="173"/>
      <c r="C88" s="158"/>
      <c r="D88" s="145" t="s">
        <v>193</v>
      </c>
      <c r="E88" s="69"/>
      <c r="F88" s="35"/>
      <c r="G88" s="34"/>
      <c r="H88" s="35"/>
      <c r="I88" s="65"/>
      <c r="J88" s="226"/>
      <c r="K88" s="36"/>
      <c r="L88" s="36"/>
      <c r="M88" s="37"/>
      <c r="N88" s="39"/>
      <c r="O88" s="7"/>
      <c r="P88" s="254">
        <f t="shared" si="8"/>
        <v>0</v>
      </c>
      <c r="Q88" s="255">
        <f t="shared" si="9"/>
        <v>0</v>
      </c>
      <c r="R88" s="7"/>
    </row>
    <row r="89" spans="1:18" ht="31.2" x14ac:dyDescent="0.25">
      <c r="A89" s="66">
        <f>IF(G89&lt;&gt;"",1+MAX($A$2:A88),"")</f>
        <v>59</v>
      </c>
      <c r="B89" s="178" t="s">
        <v>109</v>
      </c>
      <c r="C89" s="176" t="s">
        <v>203</v>
      </c>
      <c r="D89" s="159" t="s">
        <v>202</v>
      </c>
      <c r="E89" s="33" t="s">
        <v>27</v>
      </c>
      <c r="F89" s="35">
        <f>6.33/0.667</f>
        <v>9.4902548725637175</v>
      </c>
      <c r="G89" s="34">
        <v>0</v>
      </c>
      <c r="H89" s="35">
        <f t="shared" ref="H89" si="55">(G89*F89)+F89</f>
        <v>9.4902548725637175</v>
      </c>
      <c r="I89" s="190">
        <v>0.16</v>
      </c>
      <c r="J89" s="223">
        <v>45</v>
      </c>
      <c r="K89" s="36">
        <f>I89*J89</f>
        <v>7.2</v>
      </c>
      <c r="L89" s="36">
        <v>2.5</v>
      </c>
      <c r="M89" s="37">
        <f>+L89+K89</f>
        <v>9.6999999999999993</v>
      </c>
      <c r="N89" s="39">
        <f>H89*M89</f>
        <v>92.055472263868054</v>
      </c>
      <c r="O89" s="7"/>
      <c r="P89" s="254">
        <f t="shared" si="8"/>
        <v>68.329835082458771</v>
      </c>
      <c r="Q89" s="255">
        <f t="shared" si="9"/>
        <v>23.725637181409294</v>
      </c>
      <c r="R89" s="7"/>
    </row>
    <row r="90" spans="1:18" ht="31.2" x14ac:dyDescent="0.25">
      <c r="A90" s="66">
        <f>IF(G90&lt;&gt;"",1+MAX($A$2:A89),"")</f>
        <v>60</v>
      </c>
      <c r="B90" s="178" t="s">
        <v>109</v>
      </c>
      <c r="C90" s="176" t="s">
        <v>206</v>
      </c>
      <c r="D90" s="159" t="s">
        <v>205</v>
      </c>
      <c r="E90" s="33" t="s">
        <v>27</v>
      </c>
      <c r="F90" s="35">
        <f>6.33/0.667</f>
        <v>9.4902548725637175</v>
      </c>
      <c r="G90" s="34">
        <v>0</v>
      </c>
      <c r="H90" s="35">
        <f t="shared" ref="H90" si="56">(G90*F90)+F90</f>
        <v>9.4902548725637175</v>
      </c>
      <c r="I90" s="190">
        <v>0.2</v>
      </c>
      <c r="J90" s="223">
        <f>J$89</f>
        <v>45</v>
      </c>
      <c r="K90" s="36">
        <f>I90*J90</f>
        <v>9</v>
      </c>
      <c r="L90" s="36">
        <v>3.85</v>
      </c>
      <c r="M90" s="37">
        <f>+L90+K90</f>
        <v>12.85</v>
      </c>
      <c r="N90" s="39">
        <f>H90*M90</f>
        <v>121.94977511244376</v>
      </c>
      <c r="O90" s="7"/>
      <c r="P90" s="254">
        <f t="shared" si="8"/>
        <v>85.412293853073464</v>
      </c>
      <c r="Q90" s="255">
        <f t="shared" si="9"/>
        <v>36.53748125937031</v>
      </c>
      <c r="R90" s="7"/>
    </row>
    <row r="91" spans="1:18" ht="31.2" x14ac:dyDescent="0.25">
      <c r="A91" s="66">
        <f>IF(G91&lt;&gt;"",1+MAX($A$2:A90),"")</f>
        <v>61</v>
      </c>
      <c r="B91" s="178" t="s">
        <v>109</v>
      </c>
      <c r="C91" s="177" t="s">
        <v>192</v>
      </c>
      <c r="D91" s="159" t="s">
        <v>194</v>
      </c>
      <c r="E91" s="33" t="s">
        <v>27</v>
      </c>
      <c r="F91" s="35">
        <f>(6.33*6.667)/(0.667*1.5)</f>
        <v>42.181019490254862</v>
      </c>
      <c r="G91" s="34">
        <v>0</v>
      </c>
      <c r="H91" s="35">
        <f t="shared" ref="H91:H94" si="57">(G91*F91)+F91</f>
        <v>42.181019490254862</v>
      </c>
      <c r="I91" s="190">
        <v>0.25</v>
      </c>
      <c r="J91" s="223">
        <f t="shared" ref="J91:J94" si="58">J$89</f>
        <v>45</v>
      </c>
      <c r="K91" s="36">
        <f>I91*J91</f>
        <v>11.25</v>
      </c>
      <c r="L91" s="36">
        <v>4.8499999999999996</v>
      </c>
      <c r="M91" s="37">
        <f>+L91+K91</f>
        <v>16.100000000000001</v>
      </c>
      <c r="N91" s="39">
        <f>H91*M91</f>
        <v>679.11441379310338</v>
      </c>
      <c r="O91" s="7"/>
      <c r="P91" s="254">
        <f t="shared" si="8"/>
        <v>474.5364692653672</v>
      </c>
      <c r="Q91" s="255">
        <f t="shared" si="9"/>
        <v>204.57794452773607</v>
      </c>
      <c r="R91" s="7"/>
    </row>
    <row r="92" spans="1:18" ht="31.2" x14ac:dyDescent="0.25">
      <c r="A92" s="66">
        <f>IF(G92&lt;&gt;"",1+MAX($A$2:A91),"")</f>
        <v>62</v>
      </c>
      <c r="B92" s="178" t="s">
        <v>109</v>
      </c>
      <c r="C92" s="176" t="s">
        <v>195</v>
      </c>
      <c r="D92" s="159" t="s">
        <v>196</v>
      </c>
      <c r="E92" s="33" t="s">
        <v>27</v>
      </c>
      <c r="F92" s="35">
        <v>4</v>
      </c>
      <c r="G92" s="34">
        <v>0</v>
      </c>
      <c r="H92" s="35">
        <f t="shared" ref="H92:H93" si="59">(G92*F92)+F92</f>
        <v>4</v>
      </c>
      <c r="I92" s="190">
        <v>0.25</v>
      </c>
      <c r="J92" s="223">
        <f t="shared" si="58"/>
        <v>45</v>
      </c>
      <c r="K92" s="36">
        <f t="shared" ref="K92:K93" si="60">I92*J92</f>
        <v>11.25</v>
      </c>
      <c r="L92" s="36">
        <v>4.8499999999999996</v>
      </c>
      <c r="M92" s="37">
        <f t="shared" ref="M92:M93" si="61">+L92+K92</f>
        <v>16.100000000000001</v>
      </c>
      <c r="N92" s="39">
        <f t="shared" ref="N92:N93" si="62">H92*M92</f>
        <v>64.400000000000006</v>
      </c>
      <c r="O92" s="7"/>
      <c r="P92" s="254">
        <f t="shared" si="8"/>
        <v>45</v>
      </c>
      <c r="Q92" s="255">
        <f t="shared" si="9"/>
        <v>19.399999999999999</v>
      </c>
      <c r="R92" s="7"/>
    </row>
    <row r="93" spans="1:18" ht="31.2" x14ac:dyDescent="0.25">
      <c r="A93" s="66">
        <f>IF(G93&lt;&gt;"",1+MAX($A$2:A92),"")</f>
        <v>63</v>
      </c>
      <c r="B93" s="178" t="s">
        <v>109</v>
      </c>
      <c r="C93" s="176" t="s">
        <v>197</v>
      </c>
      <c r="D93" s="159" t="s">
        <v>199</v>
      </c>
      <c r="E93" s="33" t="s">
        <v>35</v>
      </c>
      <c r="F93" s="35">
        <f>4*1.046*1</f>
        <v>4.1840000000000002</v>
      </c>
      <c r="G93" s="34">
        <v>0.1</v>
      </c>
      <c r="H93" s="35">
        <f t="shared" si="59"/>
        <v>4.6024000000000003</v>
      </c>
      <c r="I93" s="190">
        <v>0.02</v>
      </c>
      <c r="J93" s="223">
        <f t="shared" si="58"/>
        <v>45</v>
      </c>
      <c r="K93" s="36">
        <f t="shared" si="60"/>
        <v>0.9</v>
      </c>
      <c r="L93" s="36">
        <v>1.2</v>
      </c>
      <c r="M93" s="37">
        <f t="shared" si="61"/>
        <v>2.1</v>
      </c>
      <c r="N93" s="39">
        <f t="shared" si="62"/>
        <v>9.6650400000000012</v>
      </c>
      <c r="O93" s="7"/>
      <c r="P93" s="254">
        <f t="shared" si="8"/>
        <v>4.1421600000000005</v>
      </c>
      <c r="Q93" s="255">
        <f t="shared" si="9"/>
        <v>5.5228799999999998</v>
      </c>
      <c r="R93" s="7"/>
    </row>
    <row r="94" spans="1:18" ht="31.2" x14ac:dyDescent="0.25">
      <c r="A94" s="66">
        <f>IF(G94&lt;&gt;"",1+MAX($A$2:A93),"")</f>
        <v>64</v>
      </c>
      <c r="B94" s="178" t="s">
        <v>109</v>
      </c>
      <c r="C94" s="176" t="s">
        <v>197</v>
      </c>
      <c r="D94" s="159" t="s">
        <v>198</v>
      </c>
      <c r="E94" s="33" t="s">
        <v>35</v>
      </c>
      <c r="F94" s="35">
        <f>2*1.5*1.046</f>
        <v>3.1379999999999999</v>
      </c>
      <c r="G94" s="34">
        <v>0.1</v>
      </c>
      <c r="H94" s="35">
        <f t="shared" si="57"/>
        <v>3.4518</v>
      </c>
      <c r="I94" s="190">
        <v>0.02</v>
      </c>
      <c r="J94" s="223">
        <f t="shared" si="58"/>
        <v>45</v>
      </c>
      <c r="K94" s="36">
        <f t="shared" ref="K94" si="63">I94*J94</f>
        <v>0.9</v>
      </c>
      <c r="L94" s="36">
        <v>1.2</v>
      </c>
      <c r="M94" s="37">
        <f t="shared" ref="M94" si="64">+L94+K94</f>
        <v>2.1</v>
      </c>
      <c r="N94" s="39">
        <f t="shared" ref="N94" si="65">H94*M94</f>
        <v>7.24878</v>
      </c>
      <c r="O94" s="7"/>
      <c r="P94" s="254">
        <f t="shared" ref="P94:P157" si="66">K94*H94</f>
        <v>3.1066199999999999</v>
      </c>
      <c r="Q94" s="255">
        <f t="shared" ref="Q94:Q157" si="67">L94*H94</f>
        <v>4.1421599999999996</v>
      </c>
      <c r="R94" s="7"/>
    </row>
    <row r="95" spans="1:18" ht="63.6" customHeight="1" x14ac:dyDescent="0.25">
      <c r="A95" s="66">
        <f>IF(G95&lt;&gt;"",1+MAX($A$2:A94),"")</f>
        <v>65</v>
      </c>
      <c r="B95" s="178" t="s">
        <v>109</v>
      </c>
      <c r="C95" s="182" t="s">
        <v>204</v>
      </c>
      <c r="D95" s="159" t="s">
        <v>341</v>
      </c>
      <c r="E95" s="33" t="s">
        <v>29</v>
      </c>
      <c r="F95" s="35">
        <v>6.6669999999999998</v>
      </c>
      <c r="G95" s="34">
        <v>0.1</v>
      </c>
      <c r="H95" s="35">
        <f t="shared" ref="H95" si="68">(G95*F95)+F95</f>
        <v>7.3337000000000003</v>
      </c>
      <c r="I95" s="190">
        <v>2.8000000000000001E-2</v>
      </c>
      <c r="J95" s="223">
        <f>J$89</f>
        <v>45</v>
      </c>
      <c r="K95" s="36">
        <f t="shared" ref="K95" si="69">I95*J95</f>
        <v>1.26</v>
      </c>
      <c r="L95" s="36">
        <v>1.42</v>
      </c>
      <c r="M95" s="37">
        <f t="shared" ref="M95" si="70">+L95+K95</f>
        <v>2.6799999999999997</v>
      </c>
      <c r="N95" s="39">
        <f t="shared" ref="N95" si="71">H95*M95</f>
        <v>19.654315999999998</v>
      </c>
      <c r="O95" s="7"/>
      <c r="P95" s="254">
        <f t="shared" si="66"/>
        <v>9.2404620000000008</v>
      </c>
      <c r="Q95" s="255">
        <f t="shared" si="67"/>
        <v>10.413854000000001</v>
      </c>
      <c r="R95" s="7"/>
    </row>
    <row r="96" spans="1:18" ht="18" customHeight="1" x14ac:dyDescent="0.25">
      <c r="A96" s="66" t="str">
        <f>IF(G96&lt;&gt;"",1+MAX($A$2:A95),"")</f>
        <v/>
      </c>
      <c r="B96" s="173"/>
      <c r="C96" s="158"/>
      <c r="D96" s="145" t="s">
        <v>163</v>
      </c>
      <c r="E96" s="69"/>
      <c r="F96" s="35"/>
      <c r="G96" s="34"/>
      <c r="H96" s="35"/>
      <c r="I96" s="65"/>
      <c r="J96" s="226"/>
      <c r="K96" s="36"/>
      <c r="L96" s="36"/>
      <c r="M96" s="37"/>
      <c r="N96" s="39"/>
      <c r="O96" s="7"/>
      <c r="P96" s="254">
        <f t="shared" si="66"/>
        <v>0</v>
      </c>
      <c r="Q96" s="255">
        <f t="shared" si="67"/>
        <v>0</v>
      </c>
      <c r="R96" s="7"/>
    </row>
    <row r="97" spans="1:18" ht="31.2" x14ac:dyDescent="0.25">
      <c r="A97" s="66">
        <f>IF(G97&lt;&gt;"",1+MAX($A$2:A96),"")</f>
        <v>66</v>
      </c>
      <c r="B97" s="173" t="s">
        <v>109</v>
      </c>
      <c r="C97" s="171" t="s">
        <v>343</v>
      </c>
      <c r="D97" s="159" t="s">
        <v>342</v>
      </c>
      <c r="E97" s="33" t="s">
        <v>7</v>
      </c>
      <c r="F97" s="35">
        <f>27*10</f>
        <v>270</v>
      </c>
      <c r="G97" s="34">
        <v>0.1</v>
      </c>
      <c r="H97" s="35">
        <f t="shared" ref="H97" si="72">(G97*F97)+F97</f>
        <v>297</v>
      </c>
      <c r="I97" s="190">
        <v>1.4999999999999999E-2</v>
      </c>
      <c r="J97" s="223">
        <f>J$89</f>
        <v>45</v>
      </c>
      <c r="K97" s="36">
        <f>I97*J97</f>
        <v>0.67499999999999993</v>
      </c>
      <c r="L97" s="36">
        <v>0.5</v>
      </c>
      <c r="M97" s="37">
        <f>+L97+K97</f>
        <v>1.1749999999999998</v>
      </c>
      <c r="N97" s="39">
        <f>H97*M97</f>
        <v>348.97499999999997</v>
      </c>
      <c r="O97" s="7"/>
      <c r="P97" s="254">
        <f t="shared" si="66"/>
        <v>200.47499999999999</v>
      </c>
      <c r="Q97" s="255">
        <f t="shared" si="67"/>
        <v>148.5</v>
      </c>
      <c r="R97" s="7"/>
    </row>
    <row r="98" spans="1:18" ht="18" customHeight="1" x14ac:dyDescent="0.3">
      <c r="A98" s="77" t="str">
        <f>IF(G98&lt;&gt;"",1+MAX($A$2:A97),"")</f>
        <v/>
      </c>
      <c r="B98" s="78"/>
      <c r="C98" s="79"/>
      <c r="D98" s="56" t="s">
        <v>37</v>
      </c>
      <c r="E98" s="126"/>
      <c r="F98" s="80"/>
      <c r="G98" s="81"/>
      <c r="H98" s="27"/>
      <c r="I98" s="82"/>
      <c r="J98" s="227"/>
      <c r="K98" s="83"/>
      <c r="L98" s="83"/>
      <c r="M98" s="29"/>
      <c r="N98" s="84"/>
      <c r="O98" s="7"/>
      <c r="P98" s="254">
        <f t="shared" si="66"/>
        <v>0</v>
      </c>
      <c r="Q98" s="255">
        <f t="shared" si="67"/>
        <v>0</v>
      </c>
      <c r="R98" s="7"/>
    </row>
    <row r="99" spans="1:18" ht="62.4" x14ac:dyDescent="0.25">
      <c r="A99" s="66">
        <f>IF(G99&lt;&gt;"",1+MAX($A$2:A98),"")</f>
        <v>67</v>
      </c>
      <c r="B99" s="167" t="s">
        <v>109</v>
      </c>
      <c r="C99" s="154" t="s">
        <v>261</v>
      </c>
      <c r="D99" s="159" t="s">
        <v>340</v>
      </c>
      <c r="E99" s="25" t="s">
        <v>7</v>
      </c>
      <c r="F99" s="140">
        <f>3*4*0.5*10</f>
        <v>60</v>
      </c>
      <c r="G99" s="34">
        <v>0.1</v>
      </c>
      <c r="H99" s="35">
        <f>(G99*F99)+F99</f>
        <v>66</v>
      </c>
      <c r="I99" s="190">
        <v>0.185</v>
      </c>
      <c r="J99" s="223">
        <f>J$89</f>
        <v>45</v>
      </c>
      <c r="K99" s="36">
        <f>I99*J99</f>
        <v>8.3249999999999993</v>
      </c>
      <c r="L99" s="36">
        <v>9.85</v>
      </c>
      <c r="M99" s="37">
        <f>+L99+K99</f>
        <v>18.174999999999997</v>
      </c>
      <c r="N99" s="39">
        <f>H99*M99</f>
        <v>1199.5499999999997</v>
      </c>
      <c r="O99" s="7"/>
      <c r="P99" s="254">
        <f t="shared" si="66"/>
        <v>549.44999999999993</v>
      </c>
      <c r="Q99" s="255">
        <f t="shared" si="67"/>
        <v>650.1</v>
      </c>
      <c r="R99" s="7"/>
    </row>
    <row r="100" spans="1:18" s="1" customFormat="1" ht="31.2" x14ac:dyDescent="0.25">
      <c r="A100" s="40" t="str">
        <f>IF(G100&lt;&gt;"",1+MAX($A$2:A99),"")</f>
        <v/>
      </c>
      <c r="B100" s="41"/>
      <c r="C100" s="41"/>
      <c r="D100" s="41"/>
      <c r="E100" s="41"/>
      <c r="F100" s="41"/>
      <c r="G100" s="41"/>
      <c r="H100" s="41"/>
      <c r="I100" s="245"/>
      <c r="J100" s="224"/>
      <c r="K100" s="42"/>
      <c r="L100" s="42"/>
      <c r="M100" s="43" t="s">
        <v>19</v>
      </c>
      <c r="N100" s="44">
        <f>SUM(N87:N99)</f>
        <v>2542.612797169415</v>
      </c>
      <c r="O100" s="4"/>
      <c r="P100" s="254">
        <f t="shared" si="66"/>
        <v>0</v>
      </c>
      <c r="Q100" s="255">
        <f t="shared" si="67"/>
        <v>0</v>
      </c>
      <c r="R100" s="4"/>
    </row>
    <row r="101" spans="1:18" ht="15.6" x14ac:dyDescent="0.25">
      <c r="A101" s="45" t="str">
        <f>IF(G101&lt;&gt;"",1+MAX($A$2:A100),"")</f>
        <v/>
      </c>
      <c r="B101" s="134"/>
      <c r="C101" s="134"/>
      <c r="D101" s="134"/>
      <c r="E101" s="136"/>
      <c r="F101" s="136"/>
      <c r="G101" s="134"/>
      <c r="H101" s="134"/>
      <c r="I101" s="246"/>
      <c r="J101" s="225"/>
      <c r="K101" s="46"/>
      <c r="L101" s="46"/>
      <c r="M101" s="135"/>
      <c r="N101" s="47"/>
      <c r="P101" s="254">
        <f t="shared" si="66"/>
        <v>0</v>
      </c>
      <c r="Q101" s="255">
        <f t="shared" si="67"/>
        <v>0</v>
      </c>
    </row>
    <row r="102" spans="1:18" ht="18" customHeight="1" x14ac:dyDescent="0.25">
      <c r="A102" s="48" t="str">
        <f>IF(G102&lt;&gt;"",1+MAX($A$2:A101),"")</f>
        <v/>
      </c>
      <c r="B102" s="49"/>
      <c r="C102" s="49"/>
      <c r="D102" s="50"/>
      <c r="E102" s="51" t="s">
        <v>38</v>
      </c>
      <c r="F102" s="52"/>
      <c r="G102" s="52"/>
      <c r="H102" s="52"/>
      <c r="I102" s="244"/>
      <c r="J102" s="222"/>
      <c r="K102" s="52"/>
      <c r="L102" s="52"/>
      <c r="M102" s="53"/>
      <c r="N102" s="54"/>
      <c r="O102" s="7"/>
      <c r="P102" s="254">
        <f t="shared" si="66"/>
        <v>0</v>
      </c>
      <c r="Q102" s="255">
        <f t="shared" si="67"/>
        <v>0</v>
      </c>
      <c r="R102" s="7"/>
    </row>
    <row r="103" spans="1:18" ht="18" customHeight="1" x14ac:dyDescent="0.3">
      <c r="A103" s="85" t="str">
        <f>IF(G103&lt;&gt;"",1+MAX($A$2:A102),"")</f>
        <v/>
      </c>
      <c r="B103" s="168"/>
      <c r="C103" s="169"/>
      <c r="D103" s="56" t="s">
        <v>39</v>
      </c>
      <c r="E103" s="123"/>
      <c r="F103" s="63"/>
      <c r="G103" s="64"/>
      <c r="H103" s="35"/>
      <c r="I103" s="65"/>
      <c r="J103" s="226"/>
      <c r="K103" s="59"/>
      <c r="L103" s="59"/>
      <c r="M103" s="37"/>
      <c r="N103" s="39"/>
      <c r="P103" s="254">
        <f t="shared" si="66"/>
        <v>0</v>
      </c>
      <c r="Q103" s="255">
        <f t="shared" si="67"/>
        <v>0</v>
      </c>
    </row>
    <row r="104" spans="1:18" ht="18" customHeight="1" x14ac:dyDescent="0.25">
      <c r="A104" s="66" t="str">
        <f>IF(G104&lt;&gt;"",1+MAX($A$2:A103),"")</f>
        <v/>
      </c>
      <c r="B104" s="317" t="s">
        <v>262</v>
      </c>
      <c r="C104" s="32"/>
      <c r="D104" s="145" t="s">
        <v>366</v>
      </c>
      <c r="E104" s="86"/>
      <c r="F104" s="27"/>
      <c r="G104" s="26"/>
      <c r="H104" s="27"/>
      <c r="I104" s="82"/>
      <c r="J104" s="228"/>
      <c r="K104" s="28"/>
      <c r="L104" s="28"/>
      <c r="M104" s="29"/>
      <c r="N104" s="84"/>
      <c r="O104" s="7"/>
      <c r="P104" s="254">
        <f t="shared" si="66"/>
        <v>0</v>
      </c>
      <c r="Q104" s="255">
        <f t="shared" si="67"/>
        <v>0</v>
      </c>
      <c r="R104" s="7"/>
    </row>
    <row r="105" spans="1:18" ht="31.2" x14ac:dyDescent="0.25">
      <c r="A105" s="66">
        <f>IF(G105&lt;&gt;"",1+MAX($A$2:A104),"")</f>
        <v>68</v>
      </c>
      <c r="B105" s="322"/>
      <c r="C105" s="325" t="s">
        <v>263</v>
      </c>
      <c r="D105" s="159" t="s">
        <v>264</v>
      </c>
      <c r="E105" s="33" t="s">
        <v>7</v>
      </c>
      <c r="F105" s="35">
        <v>2401</v>
      </c>
      <c r="G105" s="34">
        <v>0.1</v>
      </c>
      <c r="H105" s="35">
        <f>(G105*F105)+F105</f>
        <v>2641.1</v>
      </c>
      <c r="I105" s="190">
        <v>2.8000000000000001E-2</v>
      </c>
      <c r="J105" s="223">
        <v>40</v>
      </c>
      <c r="K105" s="36">
        <f>I105*J105</f>
        <v>1.1200000000000001</v>
      </c>
      <c r="L105" s="36">
        <v>6.32</v>
      </c>
      <c r="M105" s="37">
        <f>+L105+K105</f>
        <v>7.44</v>
      </c>
      <c r="N105" s="39">
        <f>H105*M105</f>
        <v>19649.784</v>
      </c>
      <c r="O105" s="7"/>
      <c r="P105" s="254">
        <f t="shared" si="66"/>
        <v>2958.0320000000002</v>
      </c>
      <c r="Q105" s="255">
        <f t="shared" si="67"/>
        <v>16691.752</v>
      </c>
      <c r="R105" s="7"/>
    </row>
    <row r="106" spans="1:18" ht="18" customHeight="1" x14ac:dyDescent="0.25">
      <c r="A106" s="66">
        <f>IF(G106&lt;&gt;"",1+MAX($A$2:A105),"")</f>
        <v>69</v>
      </c>
      <c r="B106" s="322"/>
      <c r="C106" s="326"/>
      <c r="D106" s="24" t="s">
        <v>265</v>
      </c>
      <c r="E106" s="33" t="s">
        <v>7</v>
      </c>
      <c r="F106" s="27">
        <v>2401</v>
      </c>
      <c r="G106" s="34">
        <v>0.1</v>
      </c>
      <c r="H106" s="35">
        <f>(G106*F106)+F106</f>
        <v>2641.1</v>
      </c>
      <c r="I106" s="190">
        <v>2.1999999999999999E-2</v>
      </c>
      <c r="J106" s="223">
        <f>J$105</f>
        <v>40</v>
      </c>
      <c r="K106" s="36">
        <f>I106*J106</f>
        <v>0.87999999999999989</v>
      </c>
      <c r="L106" s="36">
        <v>3.88</v>
      </c>
      <c r="M106" s="37">
        <f>+L106+K106</f>
        <v>4.76</v>
      </c>
      <c r="N106" s="39">
        <f>H106*M106</f>
        <v>12571.635999999999</v>
      </c>
      <c r="O106" s="7"/>
      <c r="P106" s="254">
        <f t="shared" si="66"/>
        <v>2324.1679999999997</v>
      </c>
      <c r="Q106" s="255">
        <f t="shared" si="67"/>
        <v>10247.467999999999</v>
      </c>
      <c r="R106" s="7"/>
    </row>
    <row r="107" spans="1:18" ht="18" customHeight="1" x14ac:dyDescent="0.25">
      <c r="A107" s="66">
        <f>IF(G107&lt;&gt;"",1+MAX($A$2:A106),"")</f>
        <v>70</v>
      </c>
      <c r="B107" s="322"/>
      <c r="C107" s="326"/>
      <c r="D107" s="24" t="s">
        <v>266</v>
      </c>
      <c r="E107" s="33" t="s">
        <v>29</v>
      </c>
      <c r="F107" s="35">
        <f>21+21</f>
        <v>42</v>
      </c>
      <c r="G107" s="34">
        <v>0.1</v>
      </c>
      <c r="H107" s="35">
        <f>(G107*F107)+F107</f>
        <v>46.2</v>
      </c>
      <c r="I107" s="190">
        <v>3.2000000000000001E-2</v>
      </c>
      <c r="J107" s="223">
        <f t="shared" ref="J107:J109" si="73">J$105</f>
        <v>40</v>
      </c>
      <c r="K107" s="36">
        <f t="shared" ref="K107:K108" si="74">J107*I107</f>
        <v>1.28</v>
      </c>
      <c r="L107" s="36">
        <v>3.25</v>
      </c>
      <c r="M107" s="37">
        <f t="shared" ref="M107:M108" si="75">+L107+K107</f>
        <v>4.53</v>
      </c>
      <c r="N107" s="39">
        <f t="shared" ref="N107:N108" si="76">H107*M107</f>
        <v>209.28600000000003</v>
      </c>
      <c r="O107" s="7"/>
      <c r="P107" s="254">
        <f t="shared" si="66"/>
        <v>59.136000000000003</v>
      </c>
      <c r="Q107" s="255">
        <f t="shared" si="67"/>
        <v>150.15</v>
      </c>
      <c r="R107" s="7"/>
    </row>
    <row r="108" spans="1:18" ht="31.2" x14ac:dyDescent="0.25">
      <c r="A108" s="66">
        <f>IF(G108&lt;&gt;"",1+MAX($A$2:A107),"")</f>
        <v>71</v>
      </c>
      <c r="B108" s="322"/>
      <c r="C108" s="327"/>
      <c r="D108" s="159" t="s">
        <v>331</v>
      </c>
      <c r="E108" s="33" t="s">
        <v>29</v>
      </c>
      <c r="F108" s="35">
        <v>21</v>
      </c>
      <c r="G108" s="34">
        <v>0.1</v>
      </c>
      <c r="H108" s="35">
        <f>(G108*F108)+F108</f>
        <v>23.1</v>
      </c>
      <c r="I108" s="190">
        <v>0.38500000000000001</v>
      </c>
      <c r="J108" s="223">
        <f t="shared" si="73"/>
        <v>40</v>
      </c>
      <c r="K108" s="36">
        <f t="shared" si="74"/>
        <v>15.4</v>
      </c>
      <c r="L108" s="36">
        <v>75</v>
      </c>
      <c r="M108" s="37">
        <f t="shared" si="75"/>
        <v>90.4</v>
      </c>
      <c r="N108" s="39">
        <f t="shared" si="76"/>
        <v>2088.2400000000002</v>
      </c>
      <c r="O108" s="7"/>
      <c r="P108" s="254">
        <f t="shared" si="66"/>
        <v>355.74</v>
      </c>
      <c r="Q108" s="255">
        <f t="shared" si="67"/>
        <v>1732.5</v>
      </c>
      <c r="R108" s="7"/>
    </row>
    <row r="109" spans="1:18" ht="15.6" x14ac:dyDescent="0.25">
      <c r="A109" s="66">
        <f>IF(G109&lt;&gt;"",1+MAX($A$2:A108),"")</f>
        <v>72</v>
      </c>
      <c r="B109" s="318"/>
      <c r="C109" s="194" t="s">
        <v>267</v>
      </c>
      <c r="D109" s="24" t="s">
        <v>268</v>
      </c>
      <c r="E109" s="33" t="s">
        <v>27</v>
      </c>
      <c r="F109" s="35">
        <v>2</v>
      </c>
      <c r="G109" s="34">
        <v>0</v>
      </c>
      <c r="H109" s="35">
        <f>(G109*F109)+F109</f>
        <v>2</v>
      </c>
      <c r="I109" s="190">
        <v>12.2</v>
      </c>
      <c r="J109" s="223">
        <f t="shared" si="73"/>
        <v>40</v>
      </c>
      <c r="K109" s="36">
        <f t="shared" ref="K109" si="77">I109*J109</f>
        <v>488</v>
      </c>
      <c r="L109" s="36">
        <f>147.25*1.68*9.9</f>
        <v>2449.0619999999999</v>
      </c>
      <c r="M109" s="37">
        <f>+L109+K109</f>
        <v>2937.0619999999999</v>
      </c>
      <c r="N109" s="39">
        <f>H109*M109</f>
        <v>5874.1239999999998</v>
      </c>
      <c r="O109" s="7"/>
      <c r="P109" s="254">
        <f t="shared" si="66"/>
        <v>976</v>
      </c>
      <c r="Q109" s="255">
        <f t="shared" si="67"/>
        <v>4898.1239999999998</v>
      </c>
      <c r="R109" s="7"/>
    </row>
    <row r="110" spans="1:18" ht="109.2" x14ac:dyDescent="0.25">
      <c r="A110" s="66" t="str">
        <f>IF(G110&lt;&gt;"",1+MAX($A$2:A109),"")</f>
        <v/>
      </c>
      <c r="B110" s="179"/>
      <c r="C110" s="194"/>
      <c r="D110" s="159" t="s">
        <v>332</v>
      </c>
      <c r="E110" s="183"/>
      <c r="F110" s="27"/>
      <c r="G110" s="26"/>
      <c r="H110" s="27"/>
      <c r="I110" s="190"/>
      <c r="J110" s="223"/>
      <c r="K110" s="28"/>
      <c r="L110" s="28"/>
      <c r="M110" s="29"/>
      <c r="N110" s="84"/>
      <c r="O110" s="7"/>
      <c r="P110" s="254">
        <f t="shared" si="66"/>
        <v>0</v>
      </c>
      <c r="Q110" s="255">
        <f t="shared" si="67"/>
        <v>0</v>
      </c>
      <c r="R110" s="7"/>
    </row>
    <row r="111" spans="1:18" ht="18" customHeight="1" x14ac:dyDescent="0.3">
      <c r="A111" s="106" t="str">
        <f>IF(G111&lt;&gt;"",1+MAX($A$2:A110),"")</f>
        <v/>
      </c>
      <c r="B111" s="168"/>
      <c r="C111" s="192"/>
      <c r="D111" s="145" t="s">
        <v>47</v>
      </c>
      <c r="E111" s="86"/>
      <c r="F111" s="96"/>
      <c r="G111" s="64"/>
      <c r="H111" s="35"/>
      <c r="I111" s="191"/>
      <c r="J111" s="229"/>
      <c r="K111" s="59"/>
      <c r="L111" s="59"/>
      <c r="M111" s="37"/>
      <c r="N111" s="39"/>
      <c r="P111" s="254">
        <f t="shared" si="66"/>
        <v>0</v>
      </c>
      <c r="Q111" s="255">
        <f t="shared" si="67"/>
        <v>0</v>
      </c>
    </row>
    <row r="112" spans="1:18" ht="15.6" customHeight="1" x14ac:dyDescent="0.25">
      <c r="A112" s="106">
        <f>IF(G112&lt;&gt;"",1+MAX($A$2:A111),"")</f>
        <v>73</v>
      </c>
      <c r="B112" s="330" t="s">
        <v>213</v>
      </c>
      <c r="C112" s="330" t="s">
        <v>240</v>
      </c>
      <c r="D112" s="159" t="s">
        <v>241</v>
      </c>
      <c r="E112" s="33" t="s">
        <v>7</v>
      </c>
      <c r="F112" s="35">
        <v>2600</v>
      </c>
      <c r="G112" s="34">
        <v>0.1</v>
      </c>
      <c r="H112" s="35">
        <f>(G112*F112)+F112</f>
        <v>2860</v>
      </c>
      <c r="I112" s="190">
        <v>2.8000000000000001E-2</v>
      </c>
      <c r="J112" s="223">
        <f t="shared" ref="J112:J113" si="78">J$105</f>
        <v>40</v>
      </c>
      <c r="K112" s="36">
        <f t="shared" ref="K112:K113" si="79">I112*J112</f>
        <v>1.1200000000000001</v>
      </c>
      <c r="L112" s="36">
        <v>4.25</v>
      </c>
      <c r="M112" s="37">
        <f t="shared" ref="M112:M113" si="80">+L112+K112</f>
        <v>5.37</v>
      </c>
      <c r="N112" s="39">
        <f>H112*M112</f>
        <v>15358.2</v>
      </c>
      <c r="P112" s="254">
        <f t="shared" si="66"/>
        <v>3203.2000000000003</v>
      </c>
      <c r="Q112" s="255">
        <f t="shared" si="67"/>
        <v>12155</v>
      </c>
    </row>
    <row r="113" spans="1:18" ht="15.6" customHeight="1" x14ac:dyDescent="0.25">
      <c r="A113" s="106">
        <f>IF(G113&lt;&gt;"",1+MAX($A$2:A112),"")</f>
        <v>74</v>
      </c>
      <c r="B113" s="332"/>
      <c r="C113" s="332"/>
      <c r="D113" s="159" t="s">
        <v>242</v>
      </c>
      <c r="E113" s="33" t="s">
        <v>7</v>
      </c>
      <c r="F113" s="35">
        <f>22*1</f>
        <v>22</v>
      </c>
      <c r="G113" s="34">
        <v>0.1</v>
      </c>
      <c r="H113" s="35">
        <f>(G113*F113)+F113</f>
        <v>24.2</v>
      </c>
      <c r="I113" s="190">
        <v>4.4999999999999998E-2</v>
      </c>
      <c r="J113" s="223">
        <f t="shared" si="78"/>
        <v>40</v>
      </c>
      <c r="K113" s="36">
        <f t="shared" si="79"/>
        <v>1.7999999999999998</v>
      </c>
      <c r="L113" s="36">
        <v>3.85</v>
      </c>
      <c r="M113" s="37">
        <f t="shared" si="80"/>
        <v>5.65</v>
      </c>
      <c r="N113" s="39">
        <f>H113*M113</f>
        <v>136.73000000000002</v>
      </c>
      <c r="P113" s="254">
        <f t="shared" si="66"/>
        <v>43.559999999999995</v>
      </c>
      <c r="Q113" s="255">
        <f t="shared" si="67"/>
        <v>93.17</v>
      </c>
    </row>
    <row r="114" spans="1:18" ht="18" customHeight="1" x14ac:dyDescent="0.25">
      <c r="A114" s="66" t="str">
        <f>IF(G114&lt;&gt;"",1+MAX($A$2:A113),"")</f>
        <v/>
      </c>
      <c r="B114" s="167"/>
      <c r="C114" s="154"/>
      <c r="D114" s="145" t="s">
        <v>222</v>
      </c>
      <c r="E114" s="86"/>
      <c r="F114" s="27"/>
      <c r="G114" s="26"/>
      <c r="H114" s="27"/>
      <c r="I114" s="82"/>
      <c r="J114" s="228"/>
      <c r="K114" s="28"/>
      <c r="L114" s="28"/>
      <c r="M114" s="29"/>
      <c r="N114" s="84"/>
      <c r="P114" s="254">
        <f t="shared" si="66"/>
        <v>0</v>
      </c>
      <c r="Q114" s="255">
        <f t="shared" si="67"/>
        <v>0</v>
      </c>
    </row>
    <row r="115" spans="1:18" ht="15.6" x14ac:dyDescent="0.25">
      <c r="A115" s="66">
        <f>IF(G115&lt;&gt;"",1+MAX($A$2:A114),"")</f>
        <v>75</v>
      </c>
      <c r="B115" s="167" t="s">
        <v>213</v>
      </c>
      <c r="C115" s="328" t="s">
        <v>81</v>
      </c>
      <c r="D115" s="159" t="s">
        <v>223</v>
      </c>
      <c r="E115" s="33" t="s">
        <v>29</v>
      </c>
      <c r="F115" s="35">
        <v>35</v>
      </c>
      <c r="G115" s="34">
        <v>0.1</v>
      </c>
      <c r="H115" s="35">
        <f>(G115*F115)+F115</f>
        <v>38.5</v>
      </c>
      <c r="I115" s="190">
        <v>0.10199999999999999</v>
      </c>
      <c r="J115" s="223">
        <f t="shared" ref="J115:J116" si="81">J$105</f>
        <v>40</v>
      </c>
      <c r="K115" s="36">
        <f>I115*J115</f>
        <v>4.08</v>
      </c>
      <c r="L115" s="36">
        <v>9.98</v>
      </c>
      <c r="M115" s="37">
        <f>+L115+K115</f>
        <v>14.06</v>
      </c>
      <c r="N115" s="39">
        <f>H115*M115</f>
        <v>541.31000000000006</v>
      </c>
      <c r="P115" s="254">
        <f t="shared" si="66"/>
        <v>157.08000000000001</v>
      </c>
      <c r="Q115" s="255">
        <f t="shared" si="67"/>
        <v>384.23</v>
      </c>
    </row>
    <row r="116" spans="1:18" ht="15.6" x14ac:dyDescent="0.25">
      <c r="A116" s="66">
        <f>IF(G116&lt;&gt;"",1+MAX($A$2:A115),"")</f>
        <v>76</v>
      </c>
      <c r="B116" s="167" t="s">
        <v>230</v>
      </c>
      <c r="C116" s="329"/>
      <c r="D116" s="159" t="s">
        <v>291</v>
      </c>
      <c r="E116" s="33" t="s">
        <v>29</v>
      </c>
      <c r="F116" s="35">
        <v>4.6500000000000004</v>
      </c>
      <c r="G116" s="34">
        <v>0.1</v>
      </c>
      <c r="H116" s="35">
        <f>(G116*F116)+F116</f>
        <v>5.1150000000000002</v>
      </c>
      <c r="I116" s="190">
        <v>2.1000000000000001E-2</v>
      </c>
      <c r="J116" s="223">
        <f t="shared" si="81"/>
        <v>40</v>
      </c>
      <c r="K116" s="36">
        <f>I116*J116</f>
        <v>0.84000000000000008</v>
      </c>
      <c r="L116" s="36">
        <v>8.25</v>
      </c>
      <c r="M116" s="37">
        <f>+L116+K116</f>
        <v>9.09</v>
      </c>
      <c r="N116" s="39">
        <f>H116*M116</f>
        <v>46.495350000000002</v>
      </c>
      <c r="P116" s="254">
        <f t="shared" si="66"/>
        <v>4.2966000000000006</v>
      </c>
      <c r="Q116" s="255">
        <f t="shared" si="67"/>
        <v>42.198750000000004</v>
      </c>
    </row>
    <row r="117" spans="1:18" ht="18" customHeight="1" x14ac:dyDescent="0.3">
      <c r="A117" s="66" t="str">
        <f>IF(G117&lt;&gt;"",1+MAX($A$2:A116),"")</f>
        <v/>
      </c>
      <c r="B117" s="171"/>
      <c r="C117" s="172"/>
      <c r="D117" s="56" t="s">
        <v>389</v>
      </c>
      <c r="E117" s="126"/>
      <c r="F117" s="63"/>
      <c r="G117" s="64"/>
      <c r="H117" s="35"/>
      <c r="I117" s="65"/>
      <c r="J117" s="226"/>
      <c r="K117" s="59"/>
      <c r="L117" s="59"/>
      <c r="M117" s="37"/>
      <c r="N117" s="39"/>
      <c r="O117" s="7"/>
      <c r="P117" s="254">
        <f t="shared" si="66"/>
        <v>0</v>
      </c>
      <c r="Q117" s="255">
        <f t="shared" si="67"/>
        <v>0</v>
      </c>
      <c r="R117" s="7"/>
    </row>
    <row r="118" spans="1:18" ht="78" x14ac:dyDescent="0.25">
      <c r="A118" s="66">
        <f>IF(G118&lt;&gt;"",1+MAX($A$2:A117),"")</f>
        <v>77</v>
      </c>
      <c r="B118" s="173" t="s">
        <v>109</v>
      </c>
      <c r="C118" s="215" t="s">
        <v>81</v>
      </c>
      <c r="D118" s="159" t="s">
        <v>323</v>
      </c>
      <c r="E118" s="33" t="s">
        <v>27</v>
      </c>
      <c r="F118" s="35">
        <v>12</v>
      </c>
      <c r="G118" s="34">
        <v>0</v>
      </c>
      <c r="H118" s="35">
        <f>(G118*F118)+F118</f>
        <v>12</v>
      </c>
      <c r="I118" s="190">
        <v>1</v>
      </c>
      <c r="J118" s="223">
        <f>J$105</f>
        <v>40</v>
      </c>
      <c r="K118" s="36">
        <f>I118*J118</f>
        <v>40</v>
      </c>
      <c r="L118" s="36">
        <v>52.5</v>
      </c>
      <c r="M118" s="37">
        <f>+L118+K118</f>
        <v>92.5</v>
      </c>
      <c r="N118" s="39">
        <f>H118*M118</f>
        <v>1110</v>
      </c>
      <c r="O118" s="7"/>
      <c r="P118" s="254">
        <f t="shared" si="66"/>
        <v>480</v>
      </c>
      <c r="Q118" s="255">
        <f t="shared" si="67"/>
        <v>630</v>
      </c>
      <c r="R118" s="7"/>
    </row>
    <row r="119" spans="1:18" ht="18" customHeight="1" x14ac:dyDescent="0.3">
      <c r="A119" s="66" t="str">
        <f>IF(G119&lt;&gt;"",1+MAX($A$2:A118),"")</f>
        <v/>
      </c>
      <c r="B119" s="171"/>
      <c r="C119" s="172"/>
      <c r="D119" s="56" t="s">
        <v>154</v>
      </c>
      <c r="E119" s="126"/>
      <c r="F119" s="63"/>
      <c r="G119" s="64"/>
      <c r="H119" s="35"/>
      <c r="I119" s="65"/>
      <c r="J119" s="226"/>
      <c r="K119" s="59"/>
      <c r="L119" s="59"/>
      <c r="M119" s="37"/>
      <c r="N119" s="39"/>
      <c r="O119" s="7"/>
      <c r="P119" s="254">
        <f t="shared" si="66"/>
        <v>0</v>
      </c>
      <c r="Q119" s="255">
        <f t="shared" si="67"/>
        <v>0</v>
      </c>
      <c r="R119" s="7"/>
    </row>
    <row r="120" spans="1:18" ht="18" customHeight="1" x14ac:dyDescent="0.25">
      <c r="A120" s="66" t="str">
        <f>IF(G120&lt;&gt;"",1+MAX($A$2:A119),"")</f>
        <v/>
      </c>
      <c r="B120" s="173"/>
      <c r="C120" s="158"/>
      <c r="D120" s="145" t="s">
        <v>155</v>
      </c>
      <c r="E120" s="69"/>
      <c r="F120" s="35"/>
      <c r="G120" s="34"/>
      <c r="H120" s="35"/>
      <c r="I120" s="65"/>
      <c r="J120" s="226"/>
      <c r="K120" s="36"/>
      <c r="L120" s="36"/>
      <c r="M120" s="37"/>
      <c r="N120" s="39"/>
      <c r="O120" s="7"/>
      <c r="P120" s="254">
        <f t="shared" si="66"/>
        <v>0</v>
      </c>
      <c r="Q120" s="255">
        <f t="shared" si="67"/>
        <v>0</v>
      </c>
      <c r="R120" s="7"/>
    </row>
    <row r="121" spans="1:18" ht="15.6" x14ac:dyDescent="0.25">
      <c r="A121" s="66">
        <f>IF(G121&lt;&gt;"",1+MAX($A$2:A120),"")</f>
        <v>78</v>
      </c>
      <c r="B121" s="342" t="s">
        <v>109</v>
      </c>
      <c r="C121" s="343" t="s">
        <v>81</v>
      </c>
      <c r="D121" s="159" t="s">
        <v>156</v>
      </c>
      <c r="E121" s="33" t="s">
        <v>27</v>
      </c>
      <c r="F121" s="35">
        <f>(13+12.25+7)/1.167</f>
        <v>27.63496143958869</v>
      </c>
      <c r="G121" s="34">
        <v>0</v>
      </c>
      <c r="H121" s="35">
        <f t="shared" ref="H121:H123" si="82">(G121*F121)+F121</f>
        <v>27.63496143958869</v>
      </c>
      <c r="I121" s="190">
        <f>0.018*10.5</f>
        <v>0.18899999999999997</v>
      </c>
      <c r="J121" s="223">
        <f t="shared" ref="J121:J123" si="83">J$105</f>
        <v>40</v>
      </c>
      <c r="K121" s="36">
        <f>I121*J121</f>
        <v>7.5599999999999987</v>
      </c>
      <c r="L121" s="36">
        <f>1.59*10.5</f>
        <v>16.695</v>
      </c>
      <c r="M121" s="37">
        <f>+L121+K121</f>
        <v>24.254999999999999</v>
      </c>
      <c r="N121" s="39">
        <f>H121*M121</f>
        <v>670.28598971722363</v>
      </c>
      <c r="O121" s="7"/>
      <c r="P121" s="254">
        <f t="shared" si="66"/>
        <v>208.92030848329046</v>
      </c>
      <c r="Q121" s="255">
        <f t="shared" si="67"/>
        <v>461.36568123393317</v>
      </c>
      <c r="R121" s="7"/>
    </row>
    <row r="122" spans="1:18" ht="15.6" x14ac:dyDescent="0.25">
      <c r="A122" s="66">
        <f>IF(G122&lt;&gt;"",1+MAX($A$2:A121),"")</f>
        <v>79</v>
      </c>
      <c r="B122" s="342"/>
      <c r="C122" s="343"/>
      <c r="D122" s="159" t="s">
        <v>157</v>
      </c>
      <c r="E122" s="33" t="s">
        <v>29</v>
      </c>
      <c r="F122" s="35">
        <f>(26+7)*2</f>
        <v>66</v>
      </c>
      <c r="G122" s="34">
        <v>0.1</v>
      </c>
      <c r="H122" s="35">
        <f t="shared" ref="H122" si="84">(G122*F122)+F122</f>
        <v>72.599999999999994</v>
      </c>
      <c r="I122" s="190">
        <v>1.7999999999999999E-2</v>
      </c>
      <c r="J122" s="223">
        <f t="shared" si="83"/>
        <v>40</v>
      </c>
      <c r="K122" s="36">
        <f t="shared" ref="K122" si="85">I122*J122</f>
        <v>0.72</v>
      </c>
      <c r="L122" s="36">
        <v>1.59</v>
      </c>
      <c r="M122" s="37">
        <f t="shared" ref="M122" si="86">+L122+K122</f>
        <v>2.31</v>
      </c>
      <c r="N122" s="39">
        <f t="shared" ref="N122" si="87">H122*M122</f>
        <v>167.70599999999999</v>
      </c>
      <c r="O122" s="7"/>
      <c r="P122" s="254">
        <f t="shared" si="66"/>
        <v>52.271999999999991</v>
      </c>
      <c r="Q122" s="255">
        <f t="shared" si="67"/>
        <v>115.434</v>
      </c>
      <c r="R122" s="7"/>
    </row>
    <row r="123" spans="1:18" ht="31.2" x14ac:dyDescent="0.25">
      <c r="A123" s="66">
        <f>IF(G123&lt;&gt;"",1+MAX($A$2:A122),"")</f>
        <v>80</v>
      </c>
      <c r="B123" s="342"/>
      <c r="C123" s="343"/>
      <c r="D123" s="159" t="s">
        <v>251</v>
      </c>
      <c r="E123" s="33" t="s">
        <v>29</v>
      </c>
      <c r="F123" s="35">
        <f>2*4*(1+6/2)</f>
        <v>32</v>
      </c>
      <c r="G123" s="34">
        <v>0.1</v>
      </c>
      <c r="H123" s="35">
        <f t="shared" si="82"/>
        <v>35.200000000000003</v>
      </c>
      <c r="I123" s="190">
        <v>1.7999999999999999E-2</v>
      </c>
      <c r="J123" s="223">
        <f t="shared" si="83"/>
        <v>40</v>
      </c>
      <c r="K123" s="36">
        <f t="shared" ref="K123" si="88">I123*J123</f>
        <v>0.72</v>
      </c>
      <c r="L123" s="36">
        <v>1.59</v>
      </c>
      <c r="M123" s="37">
        <f t="shared" ref="M123" si="89">+L123+K123</f>
        <v>2.31</v>
      </c>
      <c r="N123" s="39">
        <f t="shared" ref="N123" si="90">H123*M123</f>
        <v>81.312000000000012</v>
      </c>
      <c r="O123" s="7"/>
      <c r="P123" s="254">
        <f t="shared" si="66"/>
        <v>25.344000000000001</v>
      </c>
      <c r="Q123" s="255">
        <f t="shared" si="67"/>
        <v>55.968000000000011</v>
      </c>
      <c r="R123" s="7"/>
    </row>
    <row r="124" spans="1:18" ht="46.8" x14ac:dyDescent="0.25">
      <c r="A124" s="66" t="str">
        <f>IF(G124&lt;&gt;"",1+MAX($A$2:A123),"")</f>
        <v/>
      </c>
      <c r="B124" s="173"/>
      <c r="C124" s="171"/>
      <c r="D124" s="159" t="s">
        <v>302</v>
      </c>
      <c r="E124" s="33"/>
      <c r="F124" s="35"/>
      <c r="G124" s="34"/>
      <c r="H124" s="35"/>
      <c r="I124" s="190"/>
      <c r="J124" s="223"/>
      <c r="K124" s="36"/>
      <c r="L124" s="36"/>
      <c r="M124" s="37"/>
      <c r="N124" s="39"/>
      <c r="O124" s="7"/>
      <c r="P124" s="254">
        <f t="shared" si="66"/>
        <v>0</v>
      </c>
      <c r="Q124" s="255">
        <f t="shared" si="67"/>
        <v>0</v>
      </c>
      <c r="R124" s="7"/>
    </row>
    <row r="125" spans="1:18" s="1" customFormat="1" ht="31.2" x14ac:dyDescent="0.25">
      <c r="A125" s="40" t="str">
        <f>IF(G125&lt;&gt;"",1+MAX($A$2:A124),"")</f>
        <v/>
      </c>
      <c r="B125" s="41"/>
      <c r="C125" s="41"/>
      <c r="D125" s="41"/>
      <c r="E125" s="41"/>
      <c r="F125" s="41"/>
      <c r="G125" s="41"/>
      <c r="H125" s="41"/>
      <c r="I125" s="245"/>
      <c r="J125" s="224"/>
      <c r="K125" s="42"/>
      <c r="L125" s="42"/>
      <c r="M125" s="43" t="s">
        <v>19</v>
      </c>
      <c r="N125" s="44">
        <f>SUM(N103:N123)</f>
        <v>58505.109339717208</v>
      </c>
      <c r="O125" s="4"/>
      <c r="P125" s="254">
        <f t="shared" si="66"/>
        <v>0</v>
      </c>
      <c r="Q125" s="255">
        <f t="shared" si="67"/>
        <v>0</v>
      </c>
      <c r="R125" s="4"/>
    </row>
    <row r="126" spans="1:18" ht="15.6" x14ac:dyDescent="0.25">
      <c r="A126" s="45" t="str">
        <f>IF(G126&lt;&gt;"",1+MAX($A$2:A125),"")</f>
        <v/>
      </c>
      <c r="B126" s="134"/>
      <c r="C126" s="134"/>
      <c r="D126" s="134"/>
      <c r="E126" s="136"/>
      <c r="F126" s="136"/>
      <c r="G126" s="134"/>
      <c r="H126" s="134"/>
      <c r="I126" s="246"/>
      <c r="J126" s="225"/>
      <c r="K126" s="46"/>
      <c r="L126" s="46"/>
      <c r="M126" s="135"/>
      <c r="N126" s="47"/>
      <c r="P126" s="254">
        <f t="shared" si="66"/>
        <v>0</v>
      </c>
      <c r="Q126" s="255">
        <f t="shared" si="67"/>
        <v>0</v>
      </c>
    </row>
    <row r="127" spans="1:18" ht="18" customHeight="1" x14ac:dyDescent="0.25">
      <c r="A127" s="48" t="str">
        <f>IF(G127&lt;&gt;"",1+MAX($A$2:A126),"")</f>
        <v/>
      </c>
      <c r="B127" s="49"/>
      <c r="C127" s="49"/>
      <c r="D127" s="50"/>
      <c r="E127" s="51" t="s">
        <v>112</v>
      </c>
      <c r="F127" s="52"/>
      <c r="G127" s="52"/>
      <c r="H127" s="52"/>
      <c r="I127" s="244"/>
      <c r="J127" s="222"/>
      <c r="K127" s="52"/>
      <c r="L127" s="52"/>
      <c r="M127" s="53"/>
      <c r="N127" s="54"/>
      <c r="O127" s="7"/>
      <c r="P127" s="254">
        <f t="shared" si="66"/>
        <v>0</v>
      </c>
      <c r="Q127" s="255">
        <f t="shared" si="67"/>
        <v>0</v>
      </c>
      <c r="R127" s="7"/>
    </row>
    <row r="128" spans="1:18" ht="18" customHeight="1" x14ac:dyDescent="0.3">
      <c r="A128" s="85" t="str">
        <f>IF(G128&lt;&gt;"",1+MAX($A$2:A127),"")</f>
        <v/>
      </c>
      <c r="B128" s="171"/>
      <c r="C128" s="172"/>
      <c r="D128" s="56" t="s">
        <v>40</v>
      </c>
      <c r="E128" s="126"/>
      <c r="F128" s="63"/>
      <c r="G128" s="64"/>
      <c r="H128" s="35"/>
      <c r="I128" s="65"/>
      <c r="J128" s="226"/>
      <c r="K128" s="59"/>
      <c r="L128" s="59"/>
      <c r="M128" s="37"/>
      <c r="N128" s="39"/>
      <c r="O128" s="7"/>
      <c r="P128" s="254">
        <f t="shared" si="66"/>
        <v>0</v>
      </c>
      <c r="Q128" s="255">
        <f t="shared" si="67"/>
        <v>0</v>
      </c>
      <c r="R128" s="7"/>
    </row>
    <row r="129" spans="1:18" ht="18" customHeight="1" x14ac:dyDescent="0.25">
      <c r="A129" s="66" t="str">
        <f>IF(G129&lt;&gt;"",1+MAX($A$2:A128),"")</f>
        <v/>
      </c>
      <c r="B129" s="173"/>
      <c r="C129" s="158"/>
      <c r="D129" s="145" t="s">
        <v>113</v>
      </c>
      <c r="E129" s="69"/>
      <c r="F129" s="35"/>
      <c r="G129" s="34"/>
      <c r="H129" s="35"/>
      <c r="I129" s="65"/>
      <c r="J129" s="226"/>
      <c r="K129" s="36"/>
      <c r="L129" s="36"/>
      <c r="M129" s="37"/>
      <c r="N129" s="39"/>
      <c r="O129" s="7"/>
      <c r="P129" s="254">
        <f t="shared" si="66"/>
        <v>0</v>
      </c>
      <c r="Q129" s="255">
        <f t="shared" si="67"/>
        <v>0</v>
      </c>
      <c r="R129" s="7"/>
    </row>
    <row r="130" spans="1:18" ht="46.8" x14ac:dyDescent="0.25">
      <c r="A130" s="66">
        <f>IF(G130&lt;&gt;"",1+MAX($A$2:A129),"")</f>
        <v>81</v>
      </c>
      <c r="B130" s="317" t="s">
        <v>109</v>
      </c>
      <c r="C130" s="325" t="s">
        <v>114</v>
      </c>
      <c r="D130" s="159" t="s">
        <v>367</v>
      </c>
      <c r="E130" s="33" t="s">
        <v>27</v>
      </c>
      <c r="F130" s="35">
        <f>(11.5+6)/1.167</f>
        <v>14.995715509854326</v>
      </c>
      <c r="G130" s="34">
        <v>0</v>
      </c>
      <c r="H130" s="35">
        <f t="shared" ref="H130:H132" si="91">(G130*F130)+F130</f>
        <v>14.995715509854326</v>
      </c>
      <c r="I130" s="190">
        <f>0.1</f>
        <v>0.1</v>
      </c>
      <c r="J130" s="223">
        <v>32.5</v>
      </c>
      <c r="K130" s="36">
        <f>I130*J130</f>
        <v>3.25</v>
      </c>
      <c r="L130" s="36">
        <f>1.15*3</f>
        <v>3.4499999999999997</v>
      </c>
      <c r="M130" s="37">
        <f>+L130+K130</f>
        <v>6.6999999999999993</v>
      </c>
      <c r="N130" s="39">
        <f>H130*M130</f>
        <v>100.47129391602398</v>
      </c>
      <c r="O130" s="7"/>
      <c r="P130" s="254">
        <f t="shared" si="66"/>
        <v>48.736075407026561</v>
      </c>
      <c r="Q130" s="255">
        <f t="shared" si="67"/>
        <v>51.73521850899742</v>
      </c>
      <c r="R130" s="7"/>
    </row>
    <row r="131" spans="1:18" ht="31.2" x14ac:dyDescent="0.25">
      <c r="A131" s="66">
        <f>IF(G131&lt;&gt;"",1+MAX($A$2:A130),"")</f>
        <v>82</v>
      </c>
      <c r="B131" s="322"/>
      <c r="C131" s="326"/>
      <c r="D131" s="159" t="s">
        <v>159</v>
      </c>
      <c r="E131" s="33" t="s">
        <v>29</v>
      </c>
      <c r="F131" s="35">
        <f>6+11.5</f>
        <v>17.5</v>
      </c>
      <c r="G131" s="34">
        <v>0.1</v>
      </c>
      <c r="H131" s="35">
        <f t="shared" si="91"/>
        <v>19.25</v>
      </c>
      <c r="I131" s="190">
        <v>1.7000000000000001E-2</v>
      </c>
      <c r="J131" s="223">
        <f>J$130</f>
        <v>32.5</v>
      </c>
      <c r="K131" s="36">
        <f t="shared" ref="K131:K132" si="92">I131*J131</f>
        <v>0.55249999999999999</v>
      </c>
      <c r="L131" s="36">
        <v>1.1499999999999999</v>
      </c>
      <c r="M131" s="37">
        <f t="shared" ref="M131:M132" si="93">+L131+K131</f>
        <v>1.7024999999999999</v>
      </c>
      <c r="N131" s="39">
        <f t="shared" ref="N131:N132" si="94">H131*M131</f>
        <v>32.773125</v>
      </c>
      <c r="O131" s="7"/>
      <c r="P131" s="254">
        <f t="shared" si="66"/>
        <v>10.635624999999999</v>
      </c>
      <c r="Q131" s="255">
        <f t="shared" si="67"/>
        <v>22.137499999999999</v>
      </c>
      <c r="R131" s="7"/>
    </row>
    <row r="132" spans="1:18" ht="31.2" x14ac:dyDescent="0.25">
      <c r="A132" s="66">
        <f>IF(G132&lt;&gt;"",1+MAX($A$2:A131),"")</f>
        <v>83</v>
      </c>
      <c r="B132" s="318"/>
      <c r="C132" s="327"/>
      <c r="D132" s="159" t="s">
        <v>158</v>
      </c>
      <c r="E132" s="33" t="s">
        <v>29</v>
      </c>
      <c r="F132" s="35">
        <f>6+11.5</f>
        <v>17.5</v>
      </c>
      <c r="G132" s="34">
        <v>0.1</v>
      </c>
      <c r="H132" s="35">
        <f t="shared" si="91"/>
        <v>19.25</v>
      </c>
      <c r="I132" s="190">
        <v>1.7000000000000001E-2</v>
      </c>
      <c r="J132" s="223">
        <f>J$130</f>
        <v>32.5</v>
      </c>
      <c r="K132" s="36">
        <f t="shared" si="92"/>
        <v>0.55249999999999999</v>
      </c>
      <c r="L132" s="36">
        <v>1.1499999999999999</v>
      </c>
      <c r="M132" s="37">
        <f t="shared" si="93"/>
        <v>1.7024999999999999</v>
      </c>
      <c r="N132" s="39">
        <f t="shared" si="94"/>
        <v>32.773125</v>
      </c>
      <c r="O132" s="7"/>
      <c r="P132" s="254">
        <f t="shared" si="66"/>
        <v>10.635624999999999</v>
      </c>
      <c r="Q132" s="255">
        <f t="shared" si="67"/>
        <v>22.137499999999999</v>
      </c>
      <c r="R132" s="7"/>
    </row>
    <row r="133" spans="1:18" ht="46.8" x14ac:dyDescent="0.25">
      <c r="A133" s="66" t="str">
        <f>IF(G133&lt;&gt;"",1+MAX($A$2:A132),"")</f>
        <v/>
      </c>
      <c r="B133" s="179"/>
      <c r="C133" s="181"/>
      <c r="D133" s="166" t="s">
        <v>344</v>
      </c>
      <c r="E133" s="33"/>
      <c r="F133" s="35"/>
      <c r="G133" s="34"/>
      <c r="H133" s="35"/>
      <c r="I133" s="190"/>
      <c r="J133" s="223"/>
      <c r="K133" s="36"/>
      <c r="L133" s="36"/>
      <c r="M133" s="37"/>
      <c r="N133" s="39"/>
      <c r="O133" s="7"/>
      <c r="P133" s="254">
        <f t="shared" si="66"/>
        <v>0</v>
      </c>
      <c r="Q133" s="255">
        <f t="shared" si="67"/>
        <v>0</v>
      </c>
      <c r="R133" s="7"/>
    </row>
    <row r="134" spans="1:18" ht="18" customHeight="1" x14ac:dyDescent="0.25">
      <c r="A134" s="66" t="str">
        <f>IF(G134&lt;&gt;"",1+MAX($A$2:A133),"")</f>
        <v/>
      </c>
      <c r="B134" s="173"/>
      <c r="C134" s="158"/>
      <c r="D134" s="145" t="s">
        <v>121</v>
      </c>
      <c r="E134" s="180"/>
      <c r="F134" s="35"/>
      <c r="G134" s="34"/>
      <c r="H134" s="35"/>
      <c r="I134" s="188"/>
      <c r="J134" s="228"/>
      <c r="K134" s="36"/>
      <c r="L134" s="36"/>
      <c r="M134" s="37"/>
      <c r="N134" s="39"/>
      <c r="O134" s="7"/>
      <c r="P134" s="254">
        <f t="shared" si="66"/>
        <v>0</v>
      </c>
      <c r="Q134" s="255">
        <f t="shared" si="67"/>
        <v>0</v>
      </c>
      <c r="R134" s="7"/>
    </row>
    <row r="135" spans="1:18" ht="18" customHeight="1" x14ac:dyDescent="0.25">
      <c r="A135" s="66">
        <f>IF(G135&lt;&gt;"",1+MAX($A$2:A134),"")</f>
        <v>84</v>
      </c>
      <c r="B135" s="319" t="s">
        <v>109</v>
      </c>
      <c r="C135" s="317" t="s">
        <v>120</v>
      </c>
      <c r="D135" s="24" t="s">
        <v>122</v>
      </c>
      <c r="E135" s="33" t="s">
        <v>7</v>
      </c>
      <c r="F135" s="35">
        <f>32.98*10</f>
        <v>329.79999999999995</v>
      </c>
      <c r="G135" s="34">
        <v>0.1</v>
      </c>
      <c r="H135" s="27">
        <f t="shared" ref="H135:H137" si="95">(G135*F135)+F135</f>
        <v>362.78</v>
      </c>
      <c r="I135" s="247"/>
      <c r="J135" s="230"/>
      <c r="K135" s="59"/>
      <c r="L135" s="59"/>
      <c r="M135" s="37"/>
      <c r="N135" s="38"/>
      <c r="O135" s="7"/>
      <c r="P135" s="254">
        <f t="shared" si="66"/>
        <v>0</v>
      </c>
      <c r="Q135" s="255">
        <f t="shared" si="67"/>
        <v>0</v>
      </c>
    </row>
    <row r="136" spans="1:18" ht="15.6" x14ac:dyDescent="0.25">
      <c r="A136" s="66">
        <f>IF(G136&lt;&gt;"",1+MAX($A$2:A135),"")</f>
        <v>85</v>
      </c>
      <c r="B136" s="320"/>
      <c r="C136" s="322"/>
      <c r="D136" s="146" t="s">
        <v>66</v>
      </c>
      <c r="E136" s="33" t="s">
        <v>27</v>
      </c>
      <c r="F136" s="35">
        <f>ROUNDUP(H135/32,0)</f>
        <v>12</v>
      </c>
      <c r="G136" s="34">
        <v>0</v>
      </c>
      <c r="H136" s="35">
        <f t="shared" si="95"/>
        <v>12</v>
      </c>
      <c r="I136" s="190">
        <v>0.3</v>
      </c>
      <c r="J136" s="223">
        <f t="shared" ref="J136:J137" si="96">J$130</f>
        <v>32.5</v>
      </c>
      <c r="K136" s="36">
        <f t="shared" ref="K136:K137" si="97">I136*J136</f>
        <v>9.75</v>
      </c>
      <c r="L136" s="36">
        <v>28.5</v>
      </c>
      <c r="M136" s="37">
        <f t="shared" ref="M136:M137" si="98">+L136+K136</f>
        <v>38.25</v>
      </c>
      <c r="N136" s="39">
        <f t="shared" ref="N136:N137" si="99">H136*M136</f>
        <v>459</v>
      </c>
      <c r="O136" s="7"/>
      <c r="P136" s="254">
        <f t="shared" si="66"/>
        <v>117</v>
      </c>
      <c r="Q136" s="255">
        <f t="shared" si="67"/>
        <v>342</v>
      </c>
      <c r="R136" s="7"/>
    </row>
    <row r="137" spans="1:18" ht="15.6" x14ac:dyDescent="0.25">
      <c r="A137" s="66">
        <f>IF(G137&lt;&gt;"",1+MAX($A$2:A136),"")</f>
        <v>86</v>
      </c>
      <c r="B137" s="321"/>
      <c r="C137" s="318"/>
      <c r="D137" s="146" t="s">
        <v>123</v>
      </c>
      <c r="E137" s="33" t="s">
        <v>27</v>
      </c>
      <c r="F137" s="35">
        <f>F136*75</f>
        <v>900</v>
      </c>
      <c r="G137" s="34">
        <v>0</v>
      </c>
      <c r="H137" s="35">
        <f t="shared" si="95"/>
        <v>900</v>
      </c>
      <c r="I137" s="190">
        <v>0</v>
      </c>
      <c r="J137" s="223">
        <f t="shared" si="96"/>
        <v>32.5</v>
      </c>
      <c r="K137" s="36">
        <f t="shared" si="97"/>
        <v>0</v>
      </c>
      <c r="L137" s="36">
        <v>0.03</v>
      </c>
      <c r="M137" s="37">
        <f t="shared" si="98"/>
        <v>0.03</v>
      </c>
      <c r="N137" s="39">
        <f t="shared" si="99"/>
        <v>27</v>
      </c>
      <c r="O137" s="7"/>
      <c r="P137" s="254">
        <f t="shared" si="66"/>
        <v>0</v>
      </c>
      <c r="Q137" s="255">
        <f t="shared" si="67"/>
        <v>27</v>
      </c>
      <c r="R137" s="7"/>
    </row>
    <row r="138" spans="1:18" ht="15.6" x14ac:dyDescent="0.25">
      <c r="A138" s="66">
        <f>IF(G138&lt;&gt;"",1+MAX($A$2:A137),"")</f>
        <v>87</v>
      </c>
      <c r="B138" s="330" t="s">
        <v>213</v>
      </c>
      <c r="C138" s="328" t="s">
        <v>224</v>
      </c>
      <c r="D138" s="159" t="s">
        <v>225</v>
      </c>
      <c r="E138" s="33" t="s">
        <v>7</v>
      </c>
      <c r="F138" s="35">
        <v>70</v>
      </c>
      <c r="G138" s="34">
        <v>0.1</v>
      </c>
      <c r="H138" s="35"/>
      <c r="I138" s="190"/>
      <c r="J138" s="223"/>
      <c r="K138" s="36"/>
      <c r="L138" s="36"/>
      <c r="M138" s="37"/>
      <c r="N138" s="39"/>
      <c r="P138" s="254">
        <f t="shared" si="66"/>
        <v>0</v>
      </c>
      <c r="Q138" s="255">
        <f t="shared" si="67"/>
        <v>0</v>
      </c>
    </row>
    <row r="139" spans="1:18" ht="15.6" customHeight="1" x14ac:dyDescent="0.25">
      <c r="A139" s="106">
        <f>IF(G139&lt;&gt;"",1+MAX($A$2:A138),"")</f>
        <v>88</v>
      </c>
      <c r="B139" s="331"/>
      <c r="C139" s="341"/>
      <c r="D139" s="186" t="s">
        <v>226</v>
      </c>
      <c r="E139" s="33" t="s">
        <v>27</v>
      </c>
      <c r="F139" s="35">
        <f>F138*1.1/32</f>
        <v>2.40625</v>
      </c>
      <c r="G139" s="34">
        <v>0</v>
      </c>
      <c r="H139" s="35">
        <f t="shared" ref="H139:H140" si="100">(G139*F139)+F139</f>
        <v>2.40625</v>
      </c>
      <c r="I139" s="190">
        <v>0.3</v>
      </c>
      <c r="J139" s="223">
        <f t="shared" ref="J139:J140" si="101">J$130</f>
        <v>32.5</v>
      </c>
      <c r="K139" s="36">
        <f t="shared" ref="K139:K140" si="102">I139*J139</f>
        <v>9.75</v>
      </c>
      <c r="L139" s="36">
        <v>59.5</v>
      </c>
      <c r="M139" s="37">
        <f t="shared" ref="M139:M140" si="103">+L139+K139</f>
        <v>69.25</v>
      </c>
      <c r="N139" s="39">
        <f t="shared" ref="N139:N140" si="104">H139*M139</f>
        <v>166.6328125</v>
      </c>
      <c r="P139" s="254">
        <f t="shared" si="66"/>
        <v>23.4609375</v>
      </c>
      <c r="Q139" s="255">
        <f t="shared" si="67"/>
        <v>143.171875</v>
      </c>
    </row>
    <row r="140" spans="1:18" ht="15.6" customHeight="1" x14ac:dyDescent="0.25">
      <c r="A140" s="106">
        <f>IF(G140&lt;&gt;"",1+MAX($A$2:A139),"")</f>
        <v>89</v>
      </c>
      <c r="B140" s="332"/>
      <c r="C140" s="329"/>
      <c r="D140" s="187" t="s">
        <v>123</v>
      </c>
      <c r="E140" s="33" t="s">
        <v>27</v>
      </c>
      <c r="F140" s="35">
        <f>F138*1.1*75/32</f>
        <v>180.46875</v>
      </c>
      <c r="G140" s="34">
        <v>0</v>
      </c>
      <c r="H140" s="35">
        <f t="shared" si="100"/>
        <v>180.46875</v>
      </c>
      <c r="I140" s="190">
        <v>0</v>
      </c>
      <c r="J140" s="223">
        <f t="shared" si="101"/>
        <v>32.5</v>
      </c>
      <c r="K140" s="36">
        <f t="shared" si="102"/>
        <v>0</v>
      </c>
      <c r="L140" s="36">
        <v>0.03</v>
      </c>
      <c r="M140" s="37">
        <f t="shared" si="103"/>
        <v>0.03</v>
      </c>
      <c r="N140" s="39">
        <f t="shared" si="104"/>
        <v>5.4140625</v>
      </c>
      <c r="P140" s="254">
        <f t="shared" si="66"/>
        <v>0</v>
      </c>
      <c r="Q140" s="255">
        <f t="shared" si="67"/>
        <v>5.4140625</v>
      </c>
    </row>
    <row r="141" spans="1:18" ht="18" customHeight="1" x14ac:dyDescent="0.3">
      <c r="A141" s="85" t="str">
        <f>IF(G141&lt;&gt;"",1+MAX($A$2:A140),"")</f>
        <v/>
      </c>
      <c r="B141" s="171"/>
      <c r="C141" s="172"/>
      <c r="D141" s="56" t="s">
        <v>41</v>
      </c>
      <c r="E141" s="126"/>
      <c r="F141" s="63"/>
      <c r="G141" s="64"/>
      <c r="H141" s="35"/>
      <c r="I141" s="65"/>
      <c r="J141" s="226"/>
      <c r="K141" s="59"/>
      <c r="L141" s="59"/>
      <c r="M141" s="37"/>
      <c r="N141" s="39"/>
      <c r="O141" s="7"/>
      <c r="P141" s="254">
        <f t="shared" si="66"/>
        <v>0</v>
      </c>
      <c r="Q141" s="255">
        <f t="shared" si="67"/>
        <v>0</v>
      </c>
      <c r="R141" s="7"/>
    </row>
    <row r="142" spans="1:18" ht="19.2" customHeight="1" x14ac:dyDescent="0.25">
      <c r="A142" s="66" t="str">
        <f>IF(G142&lt;&gt;"",1+MAX($A$2:A141),"")</f>
        <v/>
      </c>
      <c r="B142" s="173"/>
      <c r="C142" s="158"/>
      <c r="D142" s="145" t="s">
        <v>61</v>
      </c>
      <c r="E142" s="86"/>
      <c r="F142" s="35"/>
      <c r="G142" s="34"/>
      <c r="H142" s="35"/>
      <c r="I142" s="65"/>
      <c r="J142" s="226"/>
      <c r="K142" s="36"/>
      <c r="L142" s="36"/>
      <c r="M142" s="37"/>
      <c r="N142" s="39"/>
      <c r="O142" s="7"/>
      <c r="P142" s="254">
        <f t="shared" si="66"/>
        <v>0</v>
      </c>
      <c r="Q142" s="255">
        <f t="shared" si="67"/>
        <v>0</v>
      </c>
      <c r="R142" s="7"/>
    </row>
    <row r="143" spans="1:18" ht="15.6" x14ac:dyDescent="0.25">
      <c r="A143" s="66">
        <f>IF(G143&lt;&gt;"",1+MAX($A$2:A142),"")</f>
        <v>90</v>
      </c>
      <c r="B143" s="317" t="s">
        <v>230</v>
      </c>
      <c r="C143" s="325" t="s">
        <v>81</v>
      </c>
      <c r="D143" s="24" t="s">
        <v>289</v>
      </c>
      <c r="E143" s="33" t="s">
        <v>29</v>
      </c>
      <c r="F143" s="35">
        <v>8.5500000000000007</v>
      </c>
      <c r="G143" s="34">
        <v>0.1</v>
      </c>
      <c r="H143" s="35">
        <f t="shared" ref="H143:H144" si="105">(G143*F143)+F143</f>
        <v>9.4050000000000011</v>
      </c>
      <c r="I143" s="190">
        <v>0.58499999999999996</v>
      </c>
      <c r="J143" s="223">
        <f t="shared" ref="J143:J144" si="106">J$130</f>
        <v>32.5</v>
      </c>
      <c r="K143" s="36">
        <f>I143*J143</f>
        <v>19.012499999999999</v>
      </c>
      <c r="L143" s="36">
        <v>585</v>
      </c>
      <c r="M143" s="37">
        <f>+L143+K143</f>
        <v>604.01250000000005</v>
      </c>
      <c r="N143" s="39">
        <f>H143*M143</f>
        <v>5680.7375625000013</v>
      </c>
      <c r="O143" s="7"/>
      <c r="P143" s="254">
        <f t="shared" si="66"/>
        <v>178.81256250000001</v>
      </c>
      <c r="Q143" s="255">
        <f t="shared" si="67"/>
        <v>5501.9250000000011</v>
      </c>
      <c r="R143" s="7"/>
    </row>
    <row r="144" spans="1:18" ht="15.6" x14ac:dyDescent="0.25">
      <c r="A144" s="66">
        <f>IF(G144&lt;&gt;"",1+MAX($A$2:A143),"")</f>
        <v>91</v>
      </c>
      <c r="B144" s="318"/>
      <c r="C144" s="327"/>
      <c r="D144" s="24" t="s">
        <v>290</v>
      </c>
      <c r="E144" s="33" t="s">
        <v>29</v>
      </c>
      <c r="F144" s="35">
        <v>11.61</v>
      </c>
      <c r="G144" s="34">
        <v>0.1</v>
      </c>
      <c r="H144" s="35">
        <f t="shared" si="105"/>
        <v>12.770999999999999</v>
      </c>
      <c r="I144" s="190">
        <v>0.42499999999999999</v>
      </c>
      <c r="J144" s="223">
        <f t="shared" si="106"/>
        <v>32.5</v>
      </c>
      <c r="K144" s="36">
        <f t="shared" ref="K144" si="107">I144*J144</f>
        <v>13.8125</v>
      </c>
      <c r="L144" s="36">
        <v>425</v>
      </c>
      <c r="M144" s="37">
        <f t="shared" ref="M144" si="108">+L144+K144</f>
        <v>438.8125</v>
      </c>
      <c r="N144" s="39">
        <f t="shared" ref="N144" si="109">H144*M144</f>
        <v>5604.0744374999995</v>
      </c>
      <c r="O144" s="7"/>
      <c r="P144" s="254">
        <f t="shared" si="66"/>
        <v>176.39943749999998</v>
      </c>
      <c r="Q144" s="255">
        <f t="shared" si="67"/>
        <v>5427.6749999999993</v>
      </c>
      <c r="R144" s="7"/>
    </row>
    <row r="145" spans="1:18" ht="31.2" x14ac:dyDescent="0.25">
      <c r="A145" s="66" t="str">
        <f>IF(G145&lt;&gt;"",1+MAX($A$2:A144),"")</f>
        <v/>
      </c>
      <c r="B145" s="179"/>
      <c r="C145" s="181"/>
      <c r="D145" s="159" t="s">
        <v>336</v>
      </c>
      <c r="E145" s="183"/>
      <c r="F145" s="35"/>
      <c r="G145" s="34"/>
      <c r="H145" s="35"/>
      <c r="I145" s="190"/>
      <c r="J145" s="223"/>
      <c r="K145" s="36"/>
      <c r="L145" s="36"/>
      <c r="M145" s="37"/>
      <c r="N145" s="39"/>
      <c r="O145" s="7"/>
      <c r="P145" s="254">
        <f t="shared" si="66"/>
        <v>0</v>
      </c>
      <c r="Q145" s="255">
        <f t="shared" si="67"/>
        <v>0</v>
      </c>
      <c r="R145" s="7"/>
    </row>
    <row r="146" spans="1:18" ht="19.2" customHeight="1" x14ac:dyDescent="0.25">
      <c r="A146" s="66" t="str">
        <f>IF(G146&lt;&gt;"",1+MAX($A$2:A145),"")</f>
        <v/>
      </c>
      <c r="B146" s="173"/>
      <c r="C146" s="158"/>
      <c r="D146" s="145" t="s">
        <v>102</v>
      </c>
      <c r="E146" s="86"/>
      <c r="F146" s="35"/>
      <c r="G146" s="34"/>
      <c r="H146" s="35"/>
      <c r="I146" s="65"/>
      <c r="J146" s="226"/>
      <c r="K146" s="36"/>
      <c r="L146" s="36"/>
      <c r="M146" s="37"/>
      <c r="N146" s="39"/>
      <c r="O146" s="7"/>
      <c r="P146" s="254">
        <f t="shared" si="66"/>
        <v>0</v>
      </c>
      <c r="Q146" s="255">
        <f t="shared" si="67"/>
        <v>0</v>
      </c>
      <c r="R146" s="7"/>
    </row>
    <row r="147" spans="1:18" ht="31.2" x14ac:dyDescent="0.25">
      <c r="A147" s="66">
        <f>IF(G147&lt;&gt;"",1+MAX($A$2:A146),"")</f>
        <v>92</v>
      </c>
      <c r="B147" s="173" t="s">
        <v>109</v>
      </c>
      <c r="C147" s="176" t="s">
        <v>81</v>
      </c>
      <c r="D147" s="159" t="s">
        <v>368</v>
      </c>
      <c r="E147" s="33" t="s">
        <v>27</v>
      </c>
      <c r="F147" s="35">
        <v>1</v>
      </c>
      <c r="G147" s="34">
        <v>0</v>
      </c>
      <c r="H147" s="35">
        <f t="shared" ref="H147" si="110">(G147*F147)+F147</f>
        <v>1</v>
      </c>
      <c r="I147" s="190">
        <f>0.2</f>
        <v>0.2</v>
      </c>
      <c r="J147" s="223">
        <f>J$130</f>
        <v>32.5</v>
      </c>
      <c r="K147" s="36">
        <f>I147*J147</f>
        <v>6.5</v>
      </c>
      <c r="L147" s="36">
        <f>2.02*3.25*4.75</f>
        <v>31.183750000000003</v>
      </c>
      <c r="M147" s="37">
        <f>+L147+K147</f>
        <v>37.683750000000003</v>
      </c>
      <c r="N147" s="39">
        <f>H147*M147</f>
        <v>37.683750000000003</v>
      </c>
      <c r="O147" s="7"/>
      <c r="P147" s="254">
        <f t="shared" si="66"/>
        <v>6.5</v>
      </c>
      <c r="Q147" s="255">
        <f t="shared" si="67"/>
        <v>31.183750000000003</v>
      </c>
      <c r="R147" s="7"/>
    </row>
    <row r="148" spans="1:18" ht="18" customHeight="1" x14ac:dyDescent="0.3">
      <c r="A148" s="85" t="str">
        <f>IF(G148&lt;&gt;"",1+MAX($A$2:A147),"")</f>
        <v/>
      </c>
      <c r="B148" s="171"/>
      <c r="C148" s="172"/>
      <c r="D148" s="56" t="s">
        <v>170</v>
      </c>
      <c r="E148" s="126"/>
      <c r="F148" s="63"/>
      <c r="G148" s="64"/>
      <c r="H148" s="35"/>
      <c r="I148" s="65"/>
      <c r="J148" s="226"/>
      <c r="K148" s="59"/>
      <c r="L148" s="59"/>
      <c r="M148" s="37"/>
      <c r="N148" s="39"/>
      <c r="O148" s="7"/>
      <c r="P148" s="254">
        <f t="shared" si="66"/>
        <v>0</v>
      </c>
      <c r="Q148" s="255">
        <f t="shared" si="67"/>
        <v>0</v>
      </c>
      <c r="R148" s="7"/>
    </row>
    <row r="149" spans="1:18" ht="19.2" customHeight="1" x14ac:dyDescent="0.25">
      <c r="A149" s="66" t="str">
        <f>IF(G149&lt;&gt;"",1+MAX($A$2:A148),"")</f>
        <v/>
      </c>
      <c r="B149" s="173"/>
      <c r="C149" s="158"/>
      <c r="D149" s="145" t="s">
        <v>171</v>
      </c>
      <c r="E149" s="86"/>
      <c r="F149" s="35"/>
      <c r="G149" s="34"/>
      <c r="H149" s="35"/>
      <c r="I149" s="65"/>
      <c r="J149" s="226"/>
      <c r="K149" s="36"/>
      <c r="L149" s="36"/>
      <c r="M149" s="37"/>
      <c r="N149" s="39"/>
      <c r="O149" s="7"/>
      <c r="P149" s="254">
        <f t="shared" si="66"/>
        <v>0</v>
      </c>
      <c r="Q149" s="255">
        <f t="shared" si="67"/>
        <v>0</v>
      </c>
      <c r="R149" s="7"/>
    </row>
    <row r="150" spans="1:18" ht="31.2" x14ac:dyDescent="0.25">
      <c r="A150" s="66">
        <f>IF(G150&lt;&gt;"",1+MAX($A$2:A149),"")</f>
        <v>93</v>
      </c>
      <c r="B150" s="173" t="s">
        <v>165</v>
      </c>
      <c r="C150" s="176" t="s">
        <v>172</v>
      </c>
      <c r="D150" s="159" t="s">
        <v>358</v>
      </c>
      <c r="E150" s="33" t="s">
        <v>29</v>
      </c>
      <c r="F150" s="35">
        <v>98.14</v>
      </c>
      <c r="G150" s="34">
        <v>0.1</v>
      </c>
      <c r="H150" s="35">
        <f t="shared" ref="H150" si="111">(G150*F150)+F150</f>
        <v>107.95400000000001</v>
      </c>
      <c r="I150" s="190">
        <v>1.7999999999999999E-2</v>
      </c>
      <c r="J150" s="223">
        <f>J$130</f>
        <v>32.5</v>
      </c>
      <c r="K150" s="36">
        <f>I150*J150</f>
        <v>0.58499999999999996</v>
      </c>
      <c r="L150" s="36">
        <v>0</v>
      </c>
      <c r="M150" s="37">
        <f>+L150+K150</f>
        <v>0.58499999999999996</v>
      </c>
      <c r="N150" s="39">
        <f>H150*M150</f>
        <v>63.153089999999999</v>
      </c>
      <c r="O150" s="7"/>
      <c r="P150" s="254">
        <f t="shared" si="66"/>
        <v>63.153089999999999</v>
      </c>
      <c r="Q150" s="255">
        <f t="shared" si="67"/>
        <v>0</v>
      </c>
      <c r="R150" s="7"/>
    </row>
    <row r="151" spans="1:18" ht="15.6" x14ac:dyDescent="0.25">
      <c r="A151" s="66">
        <f>IF(G151&lt;&gt;"",1+MAX($A$2:A150),"")</f>
        <v>94</v>
      </c>
      <c r="B151" s="167" t="s">
        <v>230</v>
      </c>
      <c r="C151" s="154" t="s">
        <v>231</v>
      </c>
      <c r="D151" s="159" t="s">
        <v>232</v>
      </c>
      <c r="E151" s="33" t="s">
        <v>29</v>
      </c>
      <c r="F151" s="35">
        <f>2*(2*(2.33+6.67+6.67)+4*(3+6.67+6.67))</f>
        <v>193.4</v>
      </c>
      <c r="G151" s="34">
        <v>0.1</v>
      </c>
      <c r="H151" s="35">
        <f>(G151*F151)+F151</f>
        <v>212.74</v>
      </c>
      <c r="I151" s="190">
        <v>1.7999999999999999E-2</v>
      </c>
      <c r="J151" s="223">
        <f>J$130</f>
        <v>32.5</v>
      </c>
      <c r="K151" s="36">
        <f>I151*J151</f>
        <v>0.58499999999999996</v>
      </c>
      <c r="L151" s="36">
        <v>2.2000000000000002</v>
      </c>
      <c r="M151" s="37">
        <f>+L151+K151</f>
        <v>2.7850000000000001</v>
      </c>
      <c r="N151" s="39">
        <f>H151*M151</f>
        <v>592.48090000000002</v>
      </c>
      <c r="P151" s="254">
        <f t="shared" si="66"/>
        <v>124.4529</v>
      </c>
      <c r="Q151" s="255">
        <f t="shared" si="67"/>
        <v>468.02800000000008</v>
      </c>
    </row>
    <row r="152" spans="1:18" ht="18" customHeight="1" x14ac:dyDescent="0.25">
      <c r="A152" s="66" t="str">
        <f>IF(G152&lt;&gt;"",1+MAX($A$2:A151),"")</f>
        <v/>
      </c>
      <c r="B152" s="167"/>
      <c r="C152" s="154"/>
      <c r="D152" s="145" t="s">
        <v>227</v>
      </c>
      <c r="E152" s="86"/>
      <c r="F152" s="35"/>
      <c r="G152" s="34"/>
      <c r="H152" s="35"/>
      <c r="I152" s="65"/>
      <c r="J152" s="226"/>
      <c r="K152" s="36"/>
      <c r="L152" s="36"/>
      <c r="M152" s="37"/>
      <c r="N152" s="39"/>
      <c r="P152" s="254">
        <f t="shared" si="66"/>
        <v>0</v>
      </c>
      <c r="Q152" s="255">
        <f t="shared" si="67"/>
        <v>0</v>
      </c>
    </row>
    <row r="153" spans="1:18" ht="15.6" x14ac:dyDescent="0.25">
      <c r="A153" s="66">
        <f>IF(G153&lt;&gt;"",1+MAX($A$2:A152),"")</f>
        <v>95</v>
      </c>
      <c r="B153" s="167" t="s">
        <v>213</v>
      </c>
      <c r="C153" s="87" t="s">
        <v>228</v>
      </c>
      <c r="D153" s="159" t="s">
        <v>229</v>
      </c>
      <c r="E153" s="33" t="s">
        <v>29</v>
      </c>
      <c r="F153" s="35">
        <v>105</v>
      </c>
      <c r="G153" s="34">
        <v>0.1</v>
      </c>
      <c r="H153" s="35">
        <f t="shared" ref="H153" si="112">(G153*F153)+F153</f>
        <v>115.5</v>
      </c>
      <c r="I153" s="190">
        <v>2.7E-2</v>
      </c>
      <c r="J153" s="223">
        <f>J$130</f>
        <v>32.5</v>
      </c>
      <c r="K153" s="36">
        <f>I153*J153</f>
        <v>0.87749999999999995</v>
      </c>
      <c r="L153" s="36">
        <v>3.25</v>
      </c>
      <c r="M153" s="37">
        <f>+L153+K153</f>
        <v>4.1274999999999995</v>
      </c>
      <c r="N153" s="39">
        <f>H153*M153</f>
        <v>476.72624999999994</v>
      </c>
      <c r="P153" s="254">
        <f t="shared" si="66"/>
        <v>101.35124999999999</v>
      </c>
      <c r="Q153" s="255">
        <f t="shared" si="67"/>
        <v>375.375</v>
      </c>
    </row>
    <row r="154" spans="1:18" s="1" customFormat="1" ht="31.2" x14ac:dyDescent="0.25">
      <c r="A154" s="40" t="str">
        <f>IF(G154&lt;&gt;"",1+MAX($A$2:A153),"")</f>
        <v/>
      </c>
      <c r="B154" s="41"/>
      <c r="C154" s="41"/>
      <c r="D154" s="41"/>
      <c r="E154" s="41"/>
      <c r="F154" s="41"/>
      <c r="G154" s="41"/>
      <c r="H154" s="41"/>
      <c r="I154" s="245"/>
      <c r="J154" s="224"/>
      <c r="K154" s="42"/>
      <c r="L154" s="42"/>
      <c r="M154" s="43" t="s">
        <v>19</v>
      </c>
      <c r="N154" s="44">
        <f>SUM(N130:N153)</f>
        <v>13278.920408916025</v>
      </c>
      <c r="O154" s="7"/>
      <c r="P154" s="254">
        <f t="shared" si="66"/>
        <v>0</v>
      </c>
      <c r="Q154" s="255">
        <f t="shared" si="67"/>
        <v>0</v>
      </c>
      <c r="R154" s="7"/>
    </row>
    <row r="155" spans="1:18" ht="18" customHeight="1" x14ac:dyDescent="0.25">
      <c r="A155" s="71" t="str">
        <f>IF(G155&lt;&gt;"",1+MAX($A$2:A154),"")</f>
        <v/>
      </c>
      <c r="B155" s="72"/>
      <c r="C155" s="72"/>
      <c r="D155" s="72"/>
      <c r="E155" s="73"/>
      <c r="F155" s="137"/>
      <c r="G155" s="74"/>
      <c r="H155" s="137"/>
      <c r="I155" s="138"/>
      <c r="J155" s="231"/>
      <c r="K155" s="75"/>
      <c r="L155" s="75"/>
      <c r="M155" s="139"/>
      <c r="N155" s="76"/>
      <c r="O155" s="7"/>
      <c r="P155" s="254">
        <f t="shared" si="66"/>
        <v>0</v>
      </c>
      <c r="Q155" s="255">
        <f t="shared" si="67"/>
        <v>0</v>
      </c>
      <c r="R155" s="7"/>
    </row>
    <row r="156" spans="1:18" ht="18" customHeight="1" x14ac:dyDescent="0.25">
      <c r="A156" s="48" t="str">
        <f>IF(G156&lt;&gt;"",1+MAX($A$2:A155),"")</f>
        <v/>
      </c>
      <c r="B156" s="49"/>
      <c r="C156" s="49"/>
      <c r="D156" s="50"/>
      <c r="E156" s="51" t="s">
        <v>128</v>
      </c>
      <c r="F156" s="52"/>
      <c r="G156" s="52"/>
      <c r="H156" s="52"/>
      <c r="I156" s="244"/>
      <c r="J156" s="222"/>
      <c r="K156" s="52"/>
      <c r="L156" s="52"/>
      <c r="M156" s="53"/>
      <c r="N156" s="54"/>
      <c r="O156" s="7"/>
      <c r="P156" s="254">
        <f t="shared" si="66"/>
        <v>0</v>
      </c>
      <c r="Q156" s="255">
        <f t="shared" si="67"/>
        <v>0</v>
      </c>
      <c r="R156" s="7"/>
    </row>
    <row r="157" spans="1:18" ht="18" customHeight="1" x14ac:dyDescent="0.3">
      <c r="A157" s="85" t="str">
        <f>IF(G157&lt;&gt;"",1+MAX($A$2:A156),"")</f>
        <v/>
      </c>
      <c r="B157" s="171"/>
      <c r="C157" s="172"/>
      <c r="D157" s="56" t="s">
        <v>129</v>
      </c>
      <c r="E157" s="126"/>
      <c r="F157" s="63"/>
      <c r="G157" s="64"/>
      <c r="H157" s="35"/>
      <c r="I157" s="65"/>
      <c r="J157" s="226"/>
      <c r="K157" s="59"/>
      <c r="L157" s="59"/>
      <c r="M157" s="37"/>
      <c r="N157" s="39"/>
      <c r="O157" s="7"/>
      <c r="P157" s="254">
        <f t="shared" si="66"/>
        <v>0</v>
      </c>
      <c r="Q157" s="255">
        <f t="shared" si="67"/>
        <v>0</v>
      </c>
      <c r="R157" s="7"/>
    </row>
    <row r="158" spans="1:18" ht="19.2" customHeight="1" x14ac:dyDescent="0.25">
      <c r="A158" s="66" t="str">
        <f>IF(G158&lt;&gt;"",1+MAX($A$2:A157),"")</f>
        <v/>
      </c>
      <c r="B158" s="173"/>
      <c r="C158" s="158"/>
      <c r="D158" s="145" t="s">
        <v>130</v>
      </c>
      <c r="E158" s="86"/>
      <c r="F158" s="35"/>
      <c r="G158" s="34"/>
      <c r="H158" s="35"/>
      <c r="I158" s="65"/>
      <c r="J158" s="226"/>
      <c r="K158" s="36"/>
      <c r="L158" s="36"/>
      <c r="M158" s="37"/>
      <c r="N158" s="39"/>
      <c r="O158" s="7"/>
      <c r="P158" s="254">
        <f t="shared" ref="P158:P221" si="113">K158*H158</f>
        <v>0</v>
      </c>
      <c r="Q158" s="255">
        <f t="shared" ref="Q158:Q221" si="114">L158*H158</f>
        <v>0</v>
      </c>
      <c r="R158" s="7"/>
    </row>
    <row r="159" spans="1:18" ht="62.4" x14ac:dyDescent="0.25">
      <c r="A159" s="66">
        <f>IF(G159&lt;&gt;"",1+MAX($A$2:A158),"")</f>
        <v>96</v>
      </c>
      <c r="B159" s="173" t="s">
        <v>109</v>
      </c>
      <c r="C159" s="158" t="s">
        <v>144</v>
      </c>
      <c r="D159" s="159" t="s">
        <v>347</v>
      </c>
      <c r="E159" s="35" t="s">
        <v>7</v>
      </c>
      <c r="F159" s="35">
        <f>27.16*4</f>
        <v>108.64</v>
      </c>
      <c r="G159" s="34">
        <v>0.1</v>
      </c>
      <c r="H159" s="35">
        <f t="shared" ref="H159:H161" si="115">(G159*F159)+F159</f>
        <v>119.504</v>
      </c>
      <c r="I159" s="190">
        <v>1.2999999999999999E-2</v>
      </c>
      <c r="J159" s="223">
        <v>36</v>
      </c>
      <c r="K159" s="36">
        <f>I159*J159</f>
        <v>0.46799999999999997</v>
      </c>
      <c r="L159" s="36">
        <v>1.32</v>
      </c>
      <c r="M159" s="37">
        <f>+L159+K159</f>
        <v>1.788</v>
      </c>
      <c r="N159" s="39">
        <f t="shared" ref="N159:N162" si="116">H159*M159</f>
        <v>213.67315200000002</v>
      </c>
      <c r="O159" s="7"/>
      <c r="P159" s="254">
        <f t="shared" si="113"/>
        <v>55.927872000000001</v>
      </c>
      <c r="Q159" s="255">
        <f t="shared" si="114"/>
        <v>157.74528000000001</v>
      </c>
      <c r="R159" s="7"/>
    </row>
    <row r="160" spans="1:18" ht="62.4" x14ac:dyDescent="0.25">
      <c r="A160" s="66">
        <f>IF(G160&lt;&gt;"",1+MAX($A$2:A159),"")</f>
        <v>97</v>
      </c>
      <c r="B160" s="173" t="s">
        <v>109</v>
      </c>
      <c r="C160" s="158" t="s">
        <v>252</v>
      </c>
      <c r="D160" s="159" t="s">
        <v>348</v>
      </c>
      <c r="E160" s="35" t="s">
        <v>7</v>
      </c>
      <c r="F160" s="35">
        <f>20*10</f>
        <v>200</v>
      </c>
      <c r="G160" s="34">
        <v>0.1</v>
      </c>
      <c r="H160" s="35">
        <f t="shared" ref="H160" si="117">(G160*F160)+F160</f>
        <v>220</v>
      </c>
      <c r="I160" s="190">
        <v>1.2999999999999999E-2</v>
      </c>
      <c r="J160" s="223">
        <f>J$159</f>
        <v>36</v>
      </c>
      <c r="K160" s="36">
        <f>I160*J160</f>
        <v>0.46799999999999997</v>
      </c>
      <c r="L160" s="36">
        <v>1.32</v>
      </c>
      <c r="M160" s="37">
        <f t="shared" ref="M160" si="118">+L160+K160</f>
        <v>1.788</v>
      </c>
      <c r="N160" s="39">
        <f t="shared" ref="N160" si="119">H160*M160</f>
        <v>393.36</v>
      </c>
      <c r="O160" s="7"/>
      <c r="P160" s="254">
        <f t="shared" si="113"/>
        <v>102.96</v>
      </c>
      <c r="Q160" s="255">
        <f t="shared" si="114"/>
        <v>290.40000000000003</v>
      </c>
      <c r="R160" s="7"/>
    </row>
    <row r="161" spans="1:18" ht="124.8" x14ac:dyDescent="0.25">
      <c r="A161" s="66">
        <f>IF(G161&lt;&gt;"",1+MAX($A$2:A160),"")</f>
        <v>98</v>
      </c>
      <c r="B161" s="173" t="s">
        <v>109</v>
      </c>
      <c r="C161" s="158" t="s">
        <v>143</v>
      </c>
      <c r="D161" s="159" t="s">
        <v>349</v>
      </c>
      <c r="E161" s="35" t="s">
        <v>7</v>
      </c>
      <c r="F161" s="35">
        <f>13*10</f>
        <v>130</v>
      </c>
      <c r="G161" s="34">
        <v>0.1</v>
      </c>
      <c r="H161" s="35">
        <f t="shared" si="115"/>
        <v>143</v>
      </c>
      <c r="I161" s="190">
        <v>1.2999999999999999E-2</v>
      </c>
      <c r="J161" s="223">
        <f>J$159</f>
        <v>36</v>
      </c>
      <c r="K161" s="36">
        <f>I161*J161</f>
        <v>0.46799999999999997</v>
      </c>
      <c r="L161" s="36">
        <v>1.32</v>
      </c>
      <c r="M161" s="37">
        <f t="shared" ref="M161" si="120">+L161+K161</f>
        <v>1.788</v>
      </c>
      <c r="N161" s="39">
        <f t="shared" si="116"/>
        <v>255.684</v>
      </c>
      <c r="O161" s="7"/>
      <c r="P161" s="254">
        <f t="shared" si="113"/>
        <v>66.923999999999992</v>
      </c>
      <c r="Q161" s="255">
        <f t="shared" si="114"/>
        <v>188.76000000000002</v>
      </c>
      <c r="R161" s="7"/>
    </row>
    <row r="162" spans="1:18" s="6" customFormat="1" ht="31.2" x14ac:dyDescent="0.25">
      <c r="A162" s="106">
        <f>IF(G162&lt;&gt;"",1+MAX($A$2:A161),"")</f>
        <v>99</v>
      </c>
      <c r="B162" s="173" t="s">
        <v>213</v>
      </c>
      <c r="C162" s="176" t="s">
        <v>345</v>
      </c>
      <c r="D162" s="162" t="s">
        <v>346</v>
      </c>
      <c r="E162" s="195" t="s">
        <v>7</v>
      </c>
      <c r="F162" s="91">
        <v>38800</v>
      </c>
      <c r="G162" s="90">
        <v>0.1</v>
      </c>
      <c r="H162" s="91">
        <f>(G162*F162)+F162</f>
        <v>42680</v>
      </c>
      <c r="I162" s="190">
        <v>8.0000000000000002E-3</v>
      </c>
      <c r="J162" s="223">
        <f>J$159</f>
        <v>36</v>
      </c>
      <c r="K162" s="93">
        <f>I162*J162</f>
        <v>0.28800000000000003</v>
      </c>
      <c r="L162" s="93">
        <v>1.25</v>
      </c>
      <c r="M162" s="37">
        <f>+L162+K162</f>
        <v>1.538</v>
      </c>
      <c r="N162" s="39">
        <f t="shared" si="116"/>
        <v>65641.84</v>
      </c>
      <c r="P162" s="254">
        <f t="shared" si="113"/>
        <v>12291.840000000002</v>
      </c>
      <c r="Q162" s="255">
        <f t="shared" si="114"/>
        <v>53350</v>
      </c>
    </row>
    <row r="163" spans="1:18" s="6" customFormat="1" ht="15.6" x14ac:dyDescent="0.25">
      <c r="A163" s="106" t="str">
        <f>IF(G163&lt;&gt;"",1+MAX($A$2:A162),"")</f>
        <v/>
      </c>
      <c r="B163" s="173"/>
      <c r="C163" s="170"/>
      <c r="D163" s="162"/>
      <c r="E163" s="195"/>
      <c r="F163" s="91"/>
      <c r="G163" s="90"/>
      <c r="H163" s="91"/>
      <c r="I163" s="190"/>
      <c r="J163" s="223"/>
      <c r="K163" s="93"/>
      <c r="L163" s="93"/>
      <c r="M163" s="37"/>
      <c r="N163" s="39"/>
      <c r="P163" s="254">
        <f t="shared" si="113"/>
        <v>0</v>
      </c>
      <c r="Q163" s="255">
        <f t="shared" si="114"/>
        <v>0</v>
      </c>
    </row>
    <row r="164" spans="1:18" ht="18" customHeight="1" x14ac:dyDescent="0.3">
      <c r="A164" s="85" t="str">
        <f>IF(G164&lt;&gt;"",1+MAX($A$2:A163),"")</f>
        <v/>
      </c>
      <c r="B164" s="61"/>
      <c r="C164" s="62"/>
      <c r="D164" s="56" t="s">
        <v>42</v>
      </c>
      <c r="E164" s="123"/>
      <c r="F164" s="63"/>
      <c r="G164" s="64"/>
      <c r="H164" s="35"/>
      <c r="I164" s="188"/>
      <c r="J164" s="228"/>
      <c r="K164" s="59"/>
      <c r="L164" s="36"/>
      <c r="M164" s="37"/>
      <c r="N164" s="39"/>
      <c r="O164" s="7"/>
      <c r="P164" s="254">
        <f t="shared" si="113"/>
        <v>0</v>
      </c>
      <c r="Q164" s="255">
        <f t="shared" si="114"/>
        <v>0</v>
      </c>
      <c r="R164" s="7"/>
    </row>
    <row r="165" spans="1:18" ht="15.6" customHeight="1" x14ac:dyDescent="0.25">
      <c r="A165" s="66" t="str">
        <f>IF(G165&lt;&gt;"",1+MAX($A$2:A164),"")</f>
        <v/>
      </c>
      <c r="B165" s="317" t="s">
        <v>262</v>
      </c>
      <c r="C165" s="32"/>
      <c r="D165" s="145" t="s">
        <v>65</v>
      </c>
      <c r="E165" s="69"/>
      <c r="F165" s="35"/>
      <c r="G165" s="34"/>
      <c r="H165" s="35"/>
      <c r="I165" s="188"/>
      <c r="J165" s="228"/>
      <c r="K165" s="36"/>
      <c r="L165" s="36"/>
      <c r="M165" s="37"/>
      <c r="N165" s="39"/>
      <c r="O165" s="7"/>
      <c r="P165" s="254">
        <f t="shared" si="113"/>
        <v>0</v>
      </c>
      <c r="Q165" s="255">
        <f t="shared" si="114"/>
        <v>0</v>
      </c>
      <c r="R165" s="7"/>
    </row>
    <row r="166" spans="1:18" ht="31.2" x14ac:dyDescent="0.25">
      <c r="A166" s="66">
        <f>IF(G166&lt;&gt;"",1+MAX($A$2:A165),"")</f>
        <v>100</v>
      </c>
      <c r="B166" s="322"/>
      <c r="C166" s="158" t="s">
        <v>269</v>
      </c>
      <c r="D166" s="159" t="s">
        <v>270</v>
      </c>
      <c r="E166" s="33" t="s">
        <v>7</v>
      </c>
      <c r="F166" s="35">
        <v>666</v>
      </c>
      <c r="G166" s="34">
        <v>0.1</v>
      </c>
      <c r="H166" s="35">
        <f>(G166*F166)+F166</f>
        <v>732.6</v>
      </c>
      <c r="I166" s="190">
        <v>3.2000000000000001E-2</v>
      </c>
      <c r="J166" s="223">
        <f>J$159</f>
        <v>36</v>
      </c>
      <c r="K166" s="36">
        <f t="shared" ref="K166:K179" si="121">J166*I166</f>
        <v>1.1520000000000001</v>
      </c>
      <c r="L166" s="36">
        <v>9.85</v>
      </c>
      <c r="M166" s="37">
        <f t="shared" ref="M166" si="122">+L166+K166</f>
        <v>11.001999999999999</v>
      </c>
      <c r="N166" s="39">
        <f t="shared" ref="N166" si="123">H166*M166</f>
        <v>8060.0651999999991</v>
      </c>
      <c r="O166" s="7"/>
      <c r="P166" s="254">
        <f t="shared" si="113"/>
        <v>843.9552000000001</v>
      </c>
      <c r="Q166" s="255">
        <f t="shared" si="114"/>
        <v>7216.11</v>
      </c>
      <c r="R166" s="7"/>
    </row>
    <row r="167" spans="1:18" ht="15.6" customHeight="1" x14ac:dyDescent="0.25">
      <c r="A167" s="66" t="str">
        <f>IF(G167&lt;&gt;"",1+MAX($A$2:A166),"")</f>
        <v/>
      </c>
      <c r="B167" s="322"/>
      <c r="C167" s="32"/>
      <c r="D167" s="145" t="s">
        <v>64</v>
      </c>
      <c r="E167" s="70"/>
      <c r="F167" s="35"/>
      <c r="G167" s="34"/>
      <c r="H167" s="35"/>
      <c r="I167" s="188"/>
      <c r="J167" s="228"/>
      <c r="K167" s="36"/>
      <c r="L167" s="36"/>
      <c r="M167" s="37"/>
      <c r="N167" s="39"/>
      <c r="O167" s="7"/>
      <c r="P167" s="254">
        <f t="shared" si="113"/>
        <v>0</v>
      </c>
      <c r="Q167" s="255">
        <f t="shared" si="114"/>
        <v>0</v>
      </c>
      <c r="R167" s="7"/>
    </row>
    <row r="168" spans="1:18" ht="18" customHeight="1" x14ac:dyDescent="0.25">
      <c r="A168" s="66">
        <f>IF(G168&lt;&gt;"",1+MAX($A$2:A167),"")</f>
        <v>101</v>
      </c>
      <c r="B168" s="322"/>
      <c r="C168" s="317" t="s">
        <v>271</v>
      </c>
      <c r="D168" s="24" t="s">
        <v>272</v>
      </c>
      <c r="E168" s="33" t="s">
        <v>29</v>
      </c>
      <c r="F168" s="35">
        <v>22</v>
      </c>
      <c r="G168" s="34">
        <v>0.1</v>
      </c>
      <c r="H168" s="35">
        <f>(G168*F168)+F168</f>
        <v>24.2</v>
      </c>
      <c r="I168" s="190">
        <v>2.1999999999999999E-2</v>
      </c>
      <c r="J168" s="223">
        <f t="shared" ref="J168:J172" si="124">J$159</f>
        <v>36</v>
      </c>
      <c r="K168" s="36">
        <f t="shared" si="121"/>
        <v>0.79199999999999993</v>
      </c>
      <c r="L168" s="36">
        <v>3.45</v>
      </c>
      <c r="M168" s="37">
        <f t="shared" ref="M168:M172" si="125">+L168+K168</f>
        <v>4.242</v>
      </c>
      <c r="N168" s="39">
        <f t="shared" ref="N168:N172" si="126">H168*M168</f>
        <v>102.65639999999999</v>
      </c>
      <c r="O168" s="7"/>
      <c r="P168" s="254">
        <f t="shared" si="113"/>
        <v>19.166399999999996</v>
      </c>
      <c r="Q168" s="255">
        <f t="shared" si="114"/>
        <v>83.49</v>
      </c>
      <c r="R168" s="7"/>
    </row>
    <row r="169" spans="1:18" ht="18" customHeight="1" x14ac:dyDescent="0.25">
      <c r="A169" s="66">
        <f>IF(G169&lt;&gt;"",1+MAX($A$2:A168),"")</f>
        <v>102</v>
      </c>
      <c r="B169" s="322"/>
      <c r="C169" s="322"/>
      <c r="D169" s="24" t="s">
        <v>273</v>
      </c>
      <c r="E169" s="33" t="s">
        <v>29</v>
      </c>
      <c r="F169" s="35">
        <v>264</v>
      </c>
      <c r="G169" s="34">
        <v>0.1</v>
      </c>
      <c r="H169" s="35">
        <f>(G169*F169)+F169</f>
        <v>290.39999999999998</v>
      </c>
      <c r="I169" s="190">
        <v>1.7999999999999999E-2</v>
      </c>
      <c r="J169" s="223">
        <f t="shared" si="124"/>
        <v>36</v>
      </c>
      <c r="K169" s="36">
        <f t="shared" si="121"/>
        <v>0.64799999999999991</v>
      </c>
      <c r="L169" s="36">
        <v>1.65</v>
      </c>
      <c r="M169" s="37">
        <f t="shared" si="125"/>
        <v>2.298</v>
      </c>
      <c r="N169" s="39">
        <f t="shared" si="126"/>
        <v>667.33920000000001</v>
      </c>
      <c r="O169" s="7"/>
      <c r="P169" s="254">
        <f t="shared" si="113"/>
        <v>188.17919999999995</v>
      </c>
      <c r="Q169" s="255">
        <f t="shared" si="114"/>
        <v>479.15999999999991</v>
      </c>
      <c r="R169" s="7"/>
    </row>
    <row r="170" spans="1:18" ht="18" customHeight="1" x14ac:dyDescent="0.25">
      <c r="A170" s="66">
        <f>IF(G170&lt;&gt;"",1+MAX($A$2:A169),"")</f>
        <v>103</v>
      </c>
      <c r="B170" s="322"/>
      <c r="C170" s="322"/>
      <c r="D170" s="24" t="s">
        <v>274</v>
      </c>
      <c r="E170" s="33" t="s">
        <v>29</v>
      </c>
      <c r="F170" s="35">
        <f>33</f>
        <v>33</v>
      </c>
      <c r="G170" s="34">
        <v>0.1</v>
      </c>
      <c r="H170" s="35">
        <f>(G170*F170)+F170</f>
        <v>36.299999999999997</v>
      </c>
      <c r="I170" s="190">
        <v>1.7999999999999999E-2</v>
      </c>
      <c r="J170" s="223">
        <f t="shared" si="124"/>
        <v>36</v>
      </c>
      <c r="K170" s="36">
        <f t="shared" si="121"/>
        <v>0.64799999999999991</v>
      </c>
      <c r="L170" s="36">
        <v>2.25</v>
      </c>
      <c r="M170" s="37">
        <f t="shared" si="125"/>
        <v>2.8979999999999997</v>
      </c>
      <c r="N170" s="39">
        <f t="shared" si="126"/>
        <v>105.19739999999997</v>
      </c>
      <c r="O170" s="7"/>
      <c r="P170" s="254">
        <f t="shared" si="113"/>
        <v>23.522399999999994</v>
      </c>
      <c r="Q170" s="255">
        <f t="shared" si="114"/>
        <v>81.674999999999997</v>
      </c>
      <c r="R170" s="7"/>
    </row>
    <row r="171" spans="1:18" ht="18" customHeight="1" x14ac:dyDescent="0.25">
      <c r="A171" s="66">
        <f>IF(G171&lt;&gt;"",1+MAX($A$2:A170),"")</f>
        <v>104</v>
      </c>
      <c r="B171" s="322"/>
      <c r="C171" s="322"/>
      <c r="D171" s="24" t="s">
        <v>275</v>
      </c>
      <c r="E171" s="33" t="s">
        <v>29</v>
      </c>
      <c r="F171" s="35">
        <v>21</v>
      </c>
      <c r="G171" s="34">
        <v>0.1</v>
      </c>
      <c r="H171" s="35">
        <f>(G171*F171)+F171</f>
        <v>23.1</v>
      </c>
      <c r="I171" s="190">
        <v>2.1000000000000001E-2</v>
      </c>
      <c r="J171" s="223">
        <f t="shared" si="124"/>
        <v>36</v>
      </c>
      <c r="K171" s="36">
        <f t="shared" si="121"/>
        <v>0.75600000000000001</v>
      </c>
      <c r="L171" s="36">
        <v>2.1</v>
      </c>
      <c r="M171" s="37">
        <f t="shared" si="125"/>
        <v>2.8559999999999999</v>
      </c>
      <c r="N171" s="39">
        <f t="shared" si="126"/>
        <v>65.973600000000005</v>
      </c>
      <c r="O171" s="7"/>
      <c r="P171" s="254">
        <f t="shared" si="113"/>
        <v>17.4636</v>
      </c>
      <c r="Q171" s="255">
        <f t="shared" si="114"/>
        <v>48.510000000000005</v>
      </c>
      <c r="R171" s="7"/>
    </row>
    <row r="172" spans="1:18" ht="18" customHeight="1" x14ac:dyDescent="0.25">
      <c r="A172" s="66">
        <f>IF(G172&lt;&gt;"",1+MAX($A$2:A171),"")</f>
        <v>105</v>
      </c>
      <c r="B172" s="322"/>
      <c r="C172" s="318"/>
      <c r="D172" s="24" t="s">
        <v>276</v>
      </c>
      <c r="E172" s="33" t="s">
        <v>29</v>
      </c>
      <c r="F172" s="35">
        <v>32</v>
      </c>
      <c r="G172" s="34">
        <v>0.1</v>
      </c>
      <c r="H172" s="35">
        <f>(G172*F172)+F172</f>
        <v>35.200000000000003</v>
      </c>
      <c r="I172" s="190">
        <v>2.1999999999999999E-2</v>
      </c>
      <c r="J172" s="223">
        <f t="shared" si="124"/>
        <v>36</v>
      </c>
      <c r="K172" s="36">
        <f t="shared" si="121"/>
        <v>0.79199999999999993</v>
      </c>
      <c r="L172" s="36">
        <v>2.65</v>
      </c>
      <c r="M172" s="37">
        <f t="shared" si="125"/>
        <v>3.4419999999999997</v>
      </c>
      <c r="N172" s="39">
        <f t="shared" si="126"/>
        <v>121.1584</v>
      </c>
      <c r="O172" s="7"/>
      <c r="P172" s="254">
        <f t="shared" si="113"/>
        <v>27.878399999999999</v>
      </c>
      <c r="Q172" s="255">
        <f t="shared" si="114"/>
        <v>93.28</v>
      </c>
      <c r="R172" s="7"/>
    </row>
    <row r="173" spans="1:18" ht="15.6" customHeight="1" x14ac:dyDescent="0.25">
      <c r="A173" s="66" t="str">
        <f>IF(G173&lt;&gt;"",1+MAX($A$2:A172),"")</f>
        <v/>
      </c>
      <c r="B173" s="322"/>
      <c r="C173" s="32"/>
      <c r="D173" s="145" t="s">
        <v>63</v>
      </c>
      <c r="E173" s="70"/>
      <c r="F173" s="35"/>
      <c r="G173" s="34"/>
      <c r="H173" s="35"/>
      <c r="I173" s="188"/>
      <c r="J173" s="228"/>
      <c r="K173" s="36"/>
      <c r="L173" s="36"/>
      <c r="M173" s="37"/>
      <c r="N173" s="39"/>
      <c r="O173" s="7"/>
      <c r="P173" s="254">
        <f t="shared" si="113"/>
        <v>0</v>
      </c>
      <c r="Q173" s="255">
        <f t="shared" si="114"/>
        <v>0</v>
      </c>
      <c r="R173" s="7"/>
    </row>
    <row r="174" spans="1:18" ht="18" customHeight="1" x14ac:dyDescent="0.25">
      <c r="A174" s="66">
        <f>IF(G174&lt;&gt;"",1+MAX($A$2:A173),"")</f>
        <v>106</v>
      </c>
      <c r="B174" s="322"/>
      <c r="C174" s="317" t="s">
        <v>277</v>
      </c>
      <c r="D174" s="24" t="s">
        <v>278</v>
      </c>
      <c r="E174" s="33" t="s">
        <v>29</v>
      </c>
      <c r="F174" s="35">
        <v>6</v>
      </c>
      <c r="G174" s="34">
        <v>0.1</v>
      </c>
      <c r="H174" s="35">
        <f>(G174*F174)+F174</f>
        <v>6.6</v>
      </c>
      <c r="I174" s="190">
        <v>2.1999999999999999E-2</v>
      </c>
      <c r="J174" s="223">
        <f t="shared" ref="J174:J179" si="127">J$159</f>
        <v>36</v>
      </c>
      <c r="K174" s="36">
        <f t="shared" ref="K174:K175" si="128">J174*I174</f>
        <v>0.79199999999999993</v>
      </c>
      <c r="L174" s="36">
        <v>3.85</v>
      </c>
      <c r="M174" s="37">
        <f t="shared" ref="M174:M179" si="129">+L174+K174</f>
        <v>4.6420000000000003</v>
      </c>
      <c r="N174" s="39">
        <f t="shared" ref="N174:N179" si="130">H174*M174</f>
        <v>30.6372</v>
      </c>
      <c r="O174" s="7"/>
      <c r="P174" s="254">
        <f t="shared" si="113"/>
        <v>5.227199999999999</v>
      </c>
      <c r="Q174" s="255">
        <f t="shared" si="114"/>
        <v>25.41</v>
      </c>
      <c r="R174" s="7"/>
    </row>
    <row r="175" spans="1:18" ht="18" customHeight="1" x14ac:dyDescent="0.25">
      <c r="A175" s="66">
        <f>IF(G175&lt;&gt;"",1+MAX($A$2:A174),"")</f>
        <v>107</v>
      </c>
      <c r="B175" s="322"/>
      <c r="C175" s="322"/>
      <c r="D175" s="24" t="s">
        <v>279</v>
      </c>
      <c r="E175" s="33" t="s">
        <v>29</v>
      </c>
      <c r="F175" s="35">
        <v>22</v>
      </c>
      <c r="G175" s="34">
        <v>0.1</v>
      </c>
      <c r="H175" s="35">
        <f>(G175*F175)+F175</f>
        <v>24.2</v>
      </c>
      <c r="I175" s="190">
        <v>2.1000000000000001E-2</v>
      </c>
      <c r="J175" s="223">
        <f t="shared" si="127"/>
        <v>36</v>
      </c>
      <c r="K175" s="36">
        <f t="shared" si="128"/>
        <v>0.75600000000000001</v>
      </c>
      <c r="L175" s="36">
        <v>3.76</v>
      </c>
      <c r="M175" s="37">
        <f t="shared" si="129"/>
        <v>4.516</v>
      </c>
      <c r="N175" s="39">
        <f t="shared" si="130"/>
        <v>109.2872</v>
      </c>
      <c r="O175" s="7"/>
      <c r="P175" s="254">
        <f t="shared" si="113"/>
        <v>18.295200000000001</v>
      </c>
      <c r="Q175" s="255">
        <f t="shared" si="114"/>
        <v>90.99199999999999</v>
      </c>
      <c r="R175" s="7"/>
    </row>
    <row r="176" spans="1:18" ht="31.2" x14ac:dyDescent="0.25">
      <c r="A176" s="66">
        <f>IF(G176&lt;&gt;"",1+MAX($A$2:A175),"")</f>
        <v>108</v>
      </c>
      <c r="B176" s="322"/>
      <c r="C176" s="322"/>
      <c r="D176" s="159" t="s">
        <v>350</v>
      </c>
      <c r="E176" s="33" t="s">
        <v>29</v>
      </c>
      <c r="F176" s="35">
        <v>43</v>
      </c>
      <c r="G176" s="34">
        <v>0.1</v>
      </c>
      <c r="H176" s="35">
        <f>(G176*F176)+F176</f>
        <v>47.3</v>
      </c>
      <c r="I176" s="190">
        <v>6.2E-2</v>
      </c>
      <c r="J176" s="223">
        <f t="shared" si="127"/>
        <v>36</v>
      </c>
      <c r="K176" s="36">
        <f t="shared" si="121"/>
        <v>2.2320000000000002</v>
      </c>
      <c r="L176" s="36">
        <v>7.25</v>
      </c>
      <c r="M176" s="37">
        <f t="shared" si="129"/>
        <v>9.4819999999999993</v>
      </c>
      <c r="N176" s="39">
        <f t="shared" si="130"/>
        <v>448.49859999999995</v>
      </c>
      <c r="O176" s="7"/>
      <c r="P176" s="254">
        <f t="shared" si="113"/>
        <v>105.5736</v>
      </c>
      <c r="Q176" s="255">
        <f t="shared" si="114"/>
        <v>342.92499999999995</v>
      </c>
      <c r="R176" s="7"/>
    </row>
    <row r="177" spans="1:18" ht="15.6" x14ac:dyDescent="0.25">
      <c r="A177" s="66">
        <f>IF(G177&lt;&gt;"",1+MAX($A$2:A176),"")</f>
        <v>109</v>
      </c>
      <c r="B177" s="322"/>
      <c r="C177" s="322"/>
      <c r="D177" s="159" t="s">
        <v>280</v>
      </c>
      <c r="E177" s="33" t="s">
        <v>29</v>
      </c>
      <c r="F177" s="35">
        <v>32</v>
      </c>
      <c r="G177" s="34">
        <v>0.1</v>
      </c>
      <c r="H177" s="35">
        <f>(G177*F177)+F177</f>
        <v>35.200000000000003</v>
      </c>
      <c r="I177" s="190">
        <v>2.1999999999999999E-2</v>
      </c>
      <c r="J177" s="223">
        <f t="shared" si="127"/>
        <v>36</v>
      </c>
      <c r="K177" s="36">
        <f t="shared" si="121"/>
        <v>0.79199999999999993</v>
      </c>
      <c r="L177" s="36">
        <v>4.6399999999999997</v>
      </c>
      <c r="M177" s="37">
        <f t="shared" si="129"/>
        <v>5.4319999999999995</v>
      </c>
      <c r="N177" s="39">
        <f t="shared" si="130"/>
        <v>191.2064</v>
      </c>
      <c r="O177" s="7"/>
      <c r="P177" s="254">
        <f t="shared" si="113"/>
        <v>27.878399999999999</v>
      </c>
      <c r="Q177" s="255">
        <f t="shared" si="114"/>
        <v>163.328</v>
      </c>
      <c r="R177" s="7"/>
    </row>
    <row r="178" spans="1:18" ht="18" customHeight="1" x14ac:dyDescent="0.25">
      <c r="A178" s="66">
        <f>IF(G178&lt;&gt;"",1+MAX($A$2:A177),"")</f>
        <v>110</v>
      </c>
      <c r="B178" s="322"/>
      <c r="C178" s="322"/>
      <c r="D178" s="24" t="s">
        <v>281</v>
      </c>
      <c r="E178" s="33" t="s">
        <v>27</v>
      </c>
      <c r="F178" s="35">
        <v>4</v>
      </c>
      <c r="G178" s="34">
        <v>0</v>
      </c>
      <c r="H178" s="35">
        <f t="shared" ref="H178" si="131">(G178*F178)+F178</f>
        <v>4</v>
      </c>
      <c r="I178" s="190">
        <f>0.052*12.5</f>
        <v>0.65</v>
      </c>
      <c r="J178" s="223">
        <f t="shared" si="127"/>
        <v>36</v>
      </c>
      <c r="K178" s="36">
        <f t="shared" si="121"/>
        <v>23.400000000000002</v>
      </c>
      <c r="L178" s="36">
        <f>5.25*12.5</f>
        <v>65.625</v>
      </c>
      <c r="M178" s="37">
        <f t="shared" si="129"/>
        <v>89.025000000000006</v>
      </c>
      <c r="N178" s="39">
        <f t="shared" si="130"/>
        <v>356.1</v>
      </c>
      <c r="O178" s="7"/>
      <c r="P178" s="254">
        <f t="shared" si="113"/>
        <v>93.600000000000009</v>
      </c>
      <c r="Q178" s="255">
        <f t="shared" si="114"/>
        <v>262.5</v>
      </c>
      <c r="R178" s="7"/>
    </row>
    <row r="179" spans="1:18" ht="18" customHeight="1" x14ac:dyDescent="0.25">
      <c r="A179" s="66">
        <f>IF(G179&lt;&gt;"",1+MAX($A$2:A178),"")</f>
        <v>111</v>
      </c>
      <c r="B179" s="318"/>
      <c r="C179" s="318"/>
      <c r="D179" s="24" t="s">
        <v>282</v>
      </c>
      <c r="E179" s="33" t="s">
        <v>29</v>
      </c>
      <c r="F179" s="35">
        <v>32</v>
      </c>
      <c r="G179" s="34">
        <v>0.1</v>
      </c>
      <c r="H179" s="35">
        <f>(G179*F179)+F179</f>
        <v>35.200000000000003</v>
      </c>
      <c r="I179" s="190">
        <v>0.1</v>
      </c>
      <c r="J179" s="223">
        <f t="shared" si="127"/>
        <v>36</v>
      </c>
      <c r="K179" s="36">
        <f t="shared" si="121"/>
        <v>3.6</v>
      </c>
      <c r="L179" s="36">
        <v>58</v>
      </c>
      <c r="M179" s="37">
        <f t="shared" si="129"/>
        <v>61.6</v>
      </c>
      <c r="N179" s="39">
        <f t="shared" si="130"/>
        <v>2168.3200000000002</v>
      </c>
      <c r="O179" s="7"/>
      <c r="P179" s="254">
        <f t="shared" si="113"/>
        <v>126.72000000000001</v>
      </c>
      <c r="Q179" s="255">
        <f t="shared" si="114"/>
        <v>2041.6000000000001</v>
      </c>
      <c r="R179" s="7"/>
    </row>
    <row r="180" spans="1:18" ht="18" customHeight="1" x14ac:dyDescent="0.25">
      <c r="A180" s="66" t="str">
        <f>IF(G180&lt;&gt;"",1+MAX($A$2:A179),"")</f>
        <v/>
      </c>
      <c r="B180" s="179"/>
      <c r="C180" s="193"/>
      <c r="D180" s="161"/>
      <c r="E180" s="33"/>
      <c r="F180" s="35"/>
      <c r="G180" s="34"/>
      <c r="H180" s="35"/>
      <c r="I180" s="190"/>
      <c r="J180" s="223"/>
      <c r="K180" s="36"/>
      <c r="L180" s="36"/>
      <c r="M180" s="37"/>
      <c r="N180" s="39"/>
      <c r="O180" s="7"/>
      <c r="P180" s="254">
        <f t="shared" si="113"/>
        <v>0</v>
      </c>
      <c r="Q180" s="255">
        <f t="shared" si="114"/>
        <v>0</v>
      </c>
      <c r="R180" s="7"/>
    </row>
    <row r="181" spans="1:18" ht="18" customHeight="1" x14ac:dyDescent="0.3">
      <c r="A181" s="66" t="str">
        <f>IF(G181&lt;&gt;"",1+MAX($A$2:A180),"")</f>
        <v/>
      </c>
      <c r="B181" s="168"/>
      <c r="C181" s="170"/>
      <c r="D181" s="56" t="s">
        <v>233</v>
      </c>
      <c r="E181" s="123"/>
      <c r="F181" s="63"/>
      <c r="G181" s="64"/>
      <c r="H181" s="35"/>
      <c r="I181" s="65"/>
      <c r="J181" s="226"/>
      <c r="K181" s="59"/>
      <c r="L181" s="59"/>
      <c r="M181" s="37"/>
      <c r="N181" s="39"/>
      <c r="P181" s="254">
        <f t="shared" si="113"/>
        <v>0</v>
      </c>
      <c r="Q181" s="255">
        <f t="shared" si="114"/>
        <v>0</v>
      </c>
    </row>
    <row r="182" spans="1:18" s="6" customFormat="1" ht="15.6" x14ac:dyDescent="0.25">
      <c r="A182" s="66" t="str">
        <f>IF(G182&lt;&gt;"",1+MAX($A$2:A181),"")</f>
        <v/>
      </c>
      <c r="B182" s="173"/>
      <c r="C182" s="160"/>
      <c r="D182" s="145" t="s">
        <v>234</v>
      </c>
      <c r="E182" s="88"/>
      <c r="F182" s="89"/>
      <c r="G182" s="90"/>
      <c r="H182" s="91"/>
      <c r="I182" s="92"/>
      <c r="J182" s="232"/>
      <c r="K182" s="93"/>
      <c r="L182" s="93"/>
      <c r="M182" s="37"/>
      <c r="N182" s="39"/>
      <c r="P182" s="254">
        <f t="shared" si="113"/>
        <v>0</v>
      </c>
      <c r="Q182" s="255">
        <f t="shared" si="114"/>
        <v>0</v>
      </c>
    </row>
    <row r="183" spans="1:18" s="6" customFormat="1" ht="15.6" x14ac:dyDescent="0.25">
      <c r="A183" s="144">
        <f>IF(G183&lt;&gt;"",1+MAX($A$2:A182),"")</f>
        <v>112</v>
      </c>
      <c r="B183" s="167" t="s">
        <v>230</v>
      </c>
      <c r="C183" s="154" t="s">
        <v>231</v>
      </c>
      <c r="D183" s="159" t="s">
        <v>235</v>
      </c>
      <c r="E183" s="94" t="s">
        <v>29</v>
      </c>
      <c r="F183" s="91">
        <v>193</v>
      </c>
      <c r="G183" s="90">
        <v>0.1</v>
      </c>
      <c r="H183" s="91">
        <f>(G183*F183)+F183</f>
        <v>212.3</v>
      </c>
      <c r="I183" s="190">
        <v>0.01</v>
      </c>
      <c r="J183" s="223">
        <f t="shared" ref="J183:J184" si="132">J$159</f>
        <v>36</v>
      </c>
      <c r="K183" s="93">
        <f>I183*J183</f>
        <v>0.36</v>
      </c>
      <c r="L183" s="93">
        <v>0.4</v>
      </c>
      <c r="M183" s="37">
        <f>+L183+K183</f>
        <v>0.76</v>
      </c>
      <c r="N183" s="39">
        <f t="shared" ref="N183:N184" si="133">H183*M183</f>
        <v>161.34800000000001</v>
      </c>
      <c r="P183" s="254">
        <f t="shared" si="113"/>
        <v>76.427999999999997</v>
      </c>
      <c r="Q183" s="255">
        <f t="shared" si="114"/>
        <v>84.920000000000016</v>
      </c>
    </row>
    <row r="184" spans="1:18" ht="46.8" x14ac:dyDescent="0.25">
      <c r="A184" s="66">
        <f>IF(G184&lt;&gt;"",1+MAX($A$2:A183),"")</f>
        <v>113</v>
      </c>
      <c r="B184" s="167" t="s">
        <v>262</v>
      </c>
      <c r="C184" s="158" t="s">
        <v>283</v>
      </c>
      <c r="D184" s="159" t="s">
        <v>284</v>
      </c>
      <c r="E184" s="33" t="s">
        <v>29</v>
      </c>
      <c r="F184" s="35">
        <f>33+264</f>
        <v>297</v>
      </c>
      <c r="G184" s="34">
        <v>0.1</v>
      </c>
      <c r="H184" s="35">
        <f>(G184*F184)+F184</f>
        <v>326.7</v>
      </c>
      <c r="I184" s="190">
        <v>0.01</v>
      </c>
      <c r="J184" s="223">
        <f t="shared" si="132"/>
        <v>36</v>
      </c>
      <c r="K184" s="36">
        <f t="shared" ref="K184" si="134">J184*I184</f>
        <v>0.36</v>
      </c>
      <c r="L184" s="36">
        <v>0.42</v>
      </c>
      <c r="M184" s="37">
        <f t="shared" ref="M184" si="135">+L184+K184</f>
        <v>0.78</v>
      </c>
      <c r="N184" s="39">
        <f t="shared" si="133"/>
        <v>254.82599999999999</v>
      </c>
      <c r="O184" s="7"/>
      <c r="P184" s="254">
        <f t="shared" si="113"/>
        <v>117.61199999999999</v>
      </c>
      <c r="Q184" s="255">
        <f t="shared" si="114"/>
        <v>137.214</v>
      </c>
      <c r="R184" s="7"/>
    </row>
    <row r="185" spans="1:18" s="1" customFormat="1" ht="31.2" x14ac:dyDescent="0.25">
      <c r="A185" s="40" t="str">
        <f>IF(G185&lt;&gt;"",1+MAX($A$2:A184),"")</f>
        <v/>
      </c>
      <c r="B185" s="41"/>
      <c r="C185" s="41"/>
      <c r="D185" s="41"/>
      <c r="E185" s="41"/>
      <c r="F185" s="41"/>
      <c r="G185" s="41"/>
      <c r="H185" s="41"/>
      <c r="I185" s="245"/>
      <c r="J185" s="224"/>
      <c r="K185" s="42"/>
      <c r="L185" s="42"/>
      <c r="M185" s="43" t="s">
        <v>19</v>
      </c>
      <c r="N185" s="44">
        <f>SUM(N157:N184)</f>
        <v>79347.17075200002</v>
      </c>
      <c r="O185" s="7"/>
      <c r="P185" s="254">
        <f t="shared" si="113"/>
        <v>0</v>
      </c>
      <c r="Q185" s="255">
        <f t="shared" si="114"/>
        <v>0</v>
      </c>
      <c r="R185" s="7"/>
    </row>
    <row r="186" spans="1:18" ht="18" customHeight="1" x14ac:dyDescent="0.25">
      <c r="A186" s="71" t="str">
        <f>IF(G186&lt;&gt;"",1+MAX($A$2:A185),"")</f>
        <v/>
      </c>
      <c r="B186" s="72"/>
      <c r="C186" s="72"/>
      <c r="D186" s="72"/>
      <c r="E186" s="73"/>
      <c r="F186" s="137"/>
      <c r="G186" s="74"/>
      <c r="H186" s="137"/>
      <c r="I186" s="138"/>
      <c r="J186" s="231"/>
      <c r="K186" s="75"/>
      <c r="L186" s="75"/>
      <c r="M186" s="139"/>
      <c r="N186" s="76"/>
      <c r="O186" s="7"/>
      <c r="P186" s="254">
        <f t="shared" si="113"/>
        <v>0</v>
      </c>
      <c r="Q186" s="255">
        <f t="shared" si="114"/>
        <v>0</v>
      </c>
      <c r="R186" s="7"/>
    </row>
    <row r="187" spans="1:18" ht="18" customHeight="1" x14ac:dyDescent="0.25">
      <c r="A187" s="48" t="str">
        <f>IF(G187&lt;&gt;"",1+MAX($A$2:A186),"")</f>
        <v/>
      </c>
      <c r="B187" s="49"/>
      <c r="C187" s="49"/>
      <c r="D187" s="50"/>
      <c r="E187" s="51" t="s">
        <v>43</v>
      </c>
      <c r="F187" s="52"/>
      <c r="G187" s="52"/>
      <c r="H187" s="52"/>
      <c r="I187" s="244"/>
      <c r="J187" s="222"/>
      <c r="K187" s="52"/>
      <c r="L187" s="52"/>
      <c r="M187" s="53"/>
      <c r="N187" s="54"/>
      <c r="O187" s="7"/>
      <c r="P187" s="254">
        <f t="shared" si="113"/>
        <v>0</v>
      </c>
      <c r="Q187" s="255">
        <f t="shared" si="114"/>
        <v>0</v>
      </c>
      <c r="R187" s="7"/>
    </row>
    <row r="188" spans="1:18" ht="18" customHeight="1" x14ac:dyDescent="0.3">
      <c r="A188" s="85" t="str">
        <f>IF(G188&lt;&gt;"",1+MAX($A$2:A187),"")</f>
        <v/>
      </c>
      <c r="B188" s="61"/>
      <c r="C188" s="62"/>
      <c r="D188" s="56" t="s">
        <v>145</v>
      </c>
      <c r="E188" s="126"/>
      <c r="F188" s="63"/>
      <c r="G188" s="64"/>
      <c r="H188" s="35"/>
      <c r="I188" s="65"/>
      <c r="J188" s="226"/>
      <c r="K188" s="59"/>
      <c r="L188" s="59"/>
      <c r="M188" s="37"/>
      <c r="N188" s="39"/>
      <c r="O188" s="7"/>
      <c r="P188" s="254">
        <f t="shared" si="113"/>
        <v>0</v>
      </c>
      <c r="Q188" s="255">
        <f t="shared" si="114"/>
        <v>0</v>
      </c>
      <c r="R188" s="7"/>
    </row>
    <row r="189" spans="1:18" ht="156" x14ac:dyDescent="0.25">
      <c r="A189" s="66">
        <f>IF(G189&lt;&gt;"",1+MAX($A$2:A188),"")</f>
        <v>114</v>
      </c>
      <c r="B189" s="167" t="s">
        <v>109</v>
      </c>
      <c r="C189" s="158" t="s">
        <v>355</v>
      </c>
      <c r="D189" s="159" t="s">
        <v>353</v>
      </c>
      <c r="E189" s="35" t="s">
        <v>27</v>
      </c>
      <c r="F189" s="35">
        <v>2</v>
      </c>
      <c r="G189" s="34">
        <v>0</v>
      </c>
      <c r="H189" s="35">
        <f>(G189*F189)+F189</f>
        <v>2</v>
      </c>
      <c r="I189" s="190">
        <f>2.5+1.56</f>
        <v>4.0600000000000005</v>
      </c>
      <c r="J189" s="223">
        <v>32.5</v>
      </c>
      <c r="K189" s="36">
        <f>I189*J189</f>
        <v>131.95000000000002</v>
      </c>
      <c r="L189" s="36">
        <f>625+(26.5*3)+187.43+3.5+9.5</f>
        <v>904.93000000000006</v>
      </c>
      <c r="M189" s="37">
        <f>+L189+K189</f>
        <v>1036.8800000000001</v>
      </c>
      <c r="N189" s="39">
        <f>H189*M189</f>
        <v>2073.7600000000002</v>
      </c>
      <c r="O189" s="7"/>
      <c r="P189" s="254">
        <f t="shared" si="113"/>
        <v>263.90000000000003</v>
      </c>
      <c r="Q189" s="255">
        <f t="shared" si="114"/>
        <v>1809.8600000000001</v>
      </c>
      <c r="R189" s="7"/>
    </row>
    <row r="190" spans="1:18" ht="140.4" x14ac:dyDescent="0.25">
      <c r="A190" s="66">
        <f>IF(G190&lt;&gt;"",1+MAX($A$2:A189),"")</f>
        <v>115</v>
      </c>
      <c r="B190" s="167" t="s">
        <v>109</v>
      </c>
      <c r="C190" s="158" t="s">
        <v>355</v>
      </c>
      <c r="D190" s="159" t="s">
        <v>354</v>
      </c>
      <c r="E190" s="35" t="s">
        <v>27</v>
      </c>
      <c r="F190" s="35">
        <v>3</v>
      </c>
      <c r="G190" s="34">
        <v>0</v>
      </c>
      <c r="H190" s="35">
        <f>(G190*F190)+F190</f>
        <v>3</v>
      </c>
      <c r="I190" s="190">
        <f>2.45+1.5</f>
        <v>3.95</v>
      </c>
      <c r="J190" s="223">
        <f>J$189</f>
        <v>32.5</v>
      </c>
      <c r="K190" s="36">
        <f>I190*J190</f>
        <v>128.375</v>
      </c>
      <c r="L190" s="36">
        <f>615+(26.5*3)+187.43+3.5</f>
        <v>885.43000000000006</v>
      </c>
      <c r="M190" s="37">
        <f>+L190+K190</f>
        <v>1013.8050000000001</v>
      </c>
      <c r="N190" s="39">
        <f>H190*M190</f>
        <v>3041.415</v>
      </c>
      <c r="O190" s="7"/>
      <c r="P190" s="254">
        <f t="shared" si="113"/>
        <v>385.125</v>
      </c>
      <c r="Q190" s="255">
        <f t="shared" si="114"/>
        <v>2656.29</v>
      </c>
      <c r="R190" s="7"/>
    </row>
    <row r="191" spans="1:18" ht="296.39999999999998" x14ac:dyDescent="0.25">
      <c r="A191" s="66">
        <f>IF(G191&lt;&gt;"",1+MAX($A$2:A190),"")</f>
        <v>116</v>
      </c>
      <c r="B191" s="167" t="s">
        <v>109</v>
      </c>
      <c r="C191" s="158" t="s">
        <v>355</v>
      </c>
      <c r="D191" s="159" t="s">
        <v>352</v>
      </c>
      <c r="E191" s="35" t="s">
        <v>27</v>
      </c>
      <c r="F191" s="35">
        <v>1</v>
      </c>
      <c r="G191" s="34">
        <v>0</v>
      </c>
      <c r="H191" s="35">
        <f>(G191*F191)+F191</f>
        <v>1</v>
      </c>
      <c r="I191" s="190">
        <f>3+2.85</f>
        <v>5.85</v>
      </c>
      <c r="J191" s="223">
        <f>J$189</f>
        <v>32.5</v>
      </c>
      <c r="K191" s="36">
        <f>I191*J191</f>
        <v>190.125</v>
      </c>
      <c r="L191" s="36">
        <f>825+(52.35*3)+187.43+(55*2)+3.5+377+565</f>
        <v>2224.98</v>
      </c>
      <c r="M191" s="37">
        <f>+L191+K191</f>
        <v>2415.105</v>
      </c>
      <c r="N191" s="39">
        <f>H191*M191</f>
        <v>2415.105</v>
      </c>
      <c r="O191" s="7"/>
      <c r="P191" s="254">
        <f t="shared" si="113"/>
        <v>190.125</v>
      </c>
      <c r="Q191" s="255">
        <f t="shared" si="114"/>
        <v>2224.98</v>
      </c>
      <c r="R191" s="7"/>
    </row>
    <row r="192" spans="1:18" ht="31.2" x14ac:dyDescent="0.25">
      <c r="A192" s="66">
        <f>IF(G192&lt;&gt;"",1+MAX($A$2:A191),"")</f>
        <v>117</v>
      </c>
      <c r="B192" s="155" t="s">
        <v>109</v>
      </c>
      <c r="C192" s="158" t="s">
        <v>108</v>
      </c>
      <c r="D192" s="159" t="s">
        <v>111</v>
      </c>
      <c r="E192" s="33" t="s">
        <v>27</v>
      </c>
      <c r="F192" s="35">
        <v>4</v>
      </c>
      <c r="G192" s="34">
        <v>0</v>
      </c>
      <c r="H192" s="27">
        <f t="shared" ref="H192" si="136">(G192*F192)+F192</f>
        <v>4</v>
      </c>
      <c r="I192" s="190">
        <v>1.2</v>
      </c>
      <c r="J192" s="223">
        <f>J$189</f>
        <v>32.5</v>
      </c>
      <c r="K192" s="36">
        <f t="shared" ref="K192" si="137">I192*J192</f>
        <v>39</v>
      </c>
      <c r="L192" s="36">
        <v>320</v>
      </c>
      <c r="M192" s="37">
        <f t="shared" ref="M192" si="138">K192+L192</f>
        <v>359</v>
      </c>
      <c r="N192" s="38">
        <f t="shared" ref="N192" si="139">H192*M192</f>
        <v>1436</v>
      </c>
      <c r="P192" s="254">
        <f t="shared" si="113"/>
        <v>156</v>
      </c>
      <c r="Q192" s="255">
        <f t="shared" si="114"/>
        <v>1280</v>
      </c>
    </row>
    <row r="193" spans="1:18" ht="46.8" x14ac:dyDescent="0.25">
      <c r="A193" s="66" t="str">
        <f>IF(G193&lt;&gt;"",1+MAX($A$2:A192),"")</f>
        <v/>
      </c>
      <c r="B193" s="155"/>
      <c r="C193" s="160"/>
      <c r="D193" s="189" t="s">
        <v>351</v>
      </c>
      <c r="E193" s="33"/>
      <c r="F193" s="95"/>
      <c r="G193" s="34"/>
      <c r="H193" s="27"/>
      <c r="I193" s="190"/>
      <c r="J193" s="223"/>
      <c r="K193" s="36"/>
      <c r="L193" s="36"/>
      <c r="M193" s="37"/>
      <c r="N193" s="38"/>
      <c r="P193" s="254">
        <f t="shared" si="113"/>
        <v>0</v>
      </c>
      <c r="Q193" s="255">
        <f t="shared" si="114"/>
        <v>0</v>
      </c>
    </row>
    <row r="194" spans="1:18" ht="18" customHeight="1" x14ac:dyDescent="0.3">
      <c r="A194" s="66" t="str">
        <f>IF(G194&lt;&gt;"",1+MAX($A$2:A193),"")</f>
        <v/>
      </c>
      <c r="B194" s="61"/>
      <c r="C194" s="62"/>
      <c r="D194" s="56" t="s">
        <v>161</v>
      </c>
      <c r="E194" s="126"/>
      <c r="F194" s="63"/>
      <c r="G194" s="64"/>
      <c r="H194" s="35"/>
      <c r="I194" s="188"/>
      <c r="J194" s="228"/>
      <c r="K194" s="36"/>
      <c r="L194" s="36"/>
      <c r="M194" s="37"/>
      <c r="N194" s="39"/>
      <c r="O194" s="7"/>
      <c r="P194" s="254">
        <f t="shared" si="113"/>
        <v>0</v>
      </c>
      <c r="Q194" s="255">
        <f t="shared" si="114"/>
        <v>0</v>
      </c>
      <c r="R194" s="7"/>
    </row>
    <row r="195" spans="1:18" ht="15.6" x14ac:dyDescent="0.25">
      <c r="A195" s="66">
        <f>IF(G195&lt;&gt;"",1+MAX($A$2:A194),"")</f>
        <v>118</v>
      </c>
      <c r="B195" s="155" t="s">
        <v>109</v>
      </c>
      <c r="C195" s="154" t="s">
        <v>162</v>
      </c>
      <c r="D195" s="24" t="s">
        <v>160</v>
      </c>
      <c r="E195" s="35" t="s">
        <v>27</v>
      </c>
      <c r="F195" s="33">
        <v>1</v>
      </c>
      <c r="G195" s="34">
        <v>0</v>
      </c>
      <c r="H195" s="35">
        <f t="shared" ref="H195" si="140">(G195*F195)+F195</f>
        <v>1</v>
      </c>
      <c r="I195" s="190">
        <v>0.2</v>
      </c>
      <c r="J195" s="223">
        <f>J$189</f>
        <v>32.5</v>
      </c>
      <c r="K195" s="36">
        <f t="shared" ref="K195" si="141">I195*J195</f>
        <v>6.5</v>
      </c>
      <c r="L195" s="36">
        <v>11.5</v>
      </c>
      <c r="M195" s="37">
        <f t="shared" ref="M195" si="142">+L195+K195</f>
        <v>18</v>
      </c>
      <c r="N195" s="39">
        <f t="shared" ref="N195" si="143">H195*M195</f>
        <v>18</v>
      </c>
      <c r="O195" s="7"/>
      <c r="P195" s="254">
        <f t="shared" si="113"/>
        <v>6.5</v>
      </c>
      <c r="Q195" s="255">
        <f t="shared" si="114"/>
        <v>11.5</v>
      </c>
      <c r="R195" s="7"/>
    </row>
    <row r="196" spans="1:18" ht="18" customHeight="1" x14ac:dyDescent="0.25">
      <c r="A196" s="40" t="str">
        <f>IF(G196&lt;&gt;"",1+MAX($A$2:A195),"")</f>
        <v/>
      </c>
      <c r="B196" s="41"/>
      <c r="C196" s="41"/>
      <c r="D196" s="41"/>
      <c r="E196" s="41"/>
      <c r="F196" s="41"/>
      <c r="G196" s="41"/>
      <c r="H196" s="41"/>
      <c r="I196" s="245"/>
      <c r="J196" s="224"/>
      <c r="K196" s="42"/>
      <c r="L196" s="42"/>
      <c r="M196" s="43" t="s">
        <v>19</v>
      </c>
      <c r="N196" s="44">
        <f>SUM(N189:N195)</f>
        <v>8984.2800000000007</v>
      </c>
      <c r="O196" s="7"/>
      <c r="P196" s="254">
        <f t="shared" si="113"/>
        <v>0</v>
      </c>
      <c r="Q196" s="255">
        <f t="shared" si="114"/>
        <v>0</v>
      </c>
      <c r="R196" s="7"/>
    </row>
    <row r="197" spans="1:18" ht="18" customHeight="1" x14ac:dyDescent="0.25">
      <c r="A197" s="71" t="str">
        <f>IF(G197&lt;&gt;"",1+MAX($A$2:A196),"")</f>
        <v/>
      </c>
      <c r="B197" s="72"/>
      <c r="C197" s="72"/>
      <c r="D197" s="72"/>
      <c r="E197" s="73"/>
      <c r="F197" s="137"/>
      <c r="G197" s="74"/>
      <c r="H197" s="137"/>
      <c r="I197" s="138"/>
      <c r="J197" s="231"/>
      <c r="K197" s="75"/>
      <c r="L197" s="75"/>
      <c r="M197" s="139"/>
      <c r="N197" s="76"/>
      <c r="O197" s="7"/>
      <c r="P197" s="254">
        <f t="shared" si="113"/>
        <v>0</v>
      </c>
      <c r="Q197" s="255">
        <f t="shared" si="114"/>
        <v>0</v>
      </c>
      <c r="R197" s="7"/>
    </row>
    <row r="198" spans="1:18" ht="18" customHeight="1" x14ac:dyDescent="0.25">
      <c r="A198" s="48" t="str">
        <f>IF(G198&lt;&gt;"",1+MAX($A$2:A197),"")</f>
        <v/>
      </c>
      <c r="B198" s="49"/>
      <c r="C198" s="49"/>
      <c r="D198" s="50"/>
      <c r="E198" s="51" t="s">
        <v>44</v>
      </c>
      <c r="F198" s="52"/>
      <c r="G198" s="52"/>
      <c r="H198" s="52"/>
      <c r="I198" s="244"/>
      <c r="J198" s="222"/>
      <c r="K198" s="52"/>
      <c r="L198" s="52"/>
      <c r="M198" s="53"/>
      <c r="N198" s="54"/>
      <c r="O198" s="7"/>
      <c r="P198" s="254">
        <f t="shared" si="113"/>
        <v>0</v>
      </c>
      <c r="Q198" s="255">
        <f t="shared" si="114"/>
        <v>0</v>
      </c>
      <c r="R198" s="7"/>
    </row>
    <row r="199" spans="1:18" ht="18" customHeight="1" x14ac:dyDescent="0.3">
      <c r="A199" s="85" t="str">
        <f>IF(G199&lt;&gt;"",1+MAX($A$2:A198),"")</f>
        <v/>
      </c>
      <c r="B199" s="171"/>
      <c r="C199" s="172"/>
      <c r="D199" s="56" t="s">
        <v>167</v>
      </c>
      <c r="E199" s="123"/>
      <c r="F199" s="63"/>
      <c r="G199" s="64"/>
      <c r="H199" s="35"/>
      <c r="I199" s="65"/>
      <c r="J199" s="226"/>
      <c r="K199" s="59"/>
      <c r="L199" s="59"/>
      <c r="M199" s="37"/>
      <c r="N199" s="39"/>
      <c r="O199" s="7"/>
      <c r="P199" s="254">
        <f t="shared" si="113"/>
        <v>0</v>
      </c>
      <c r="Q199" s="255">
        <f t="shared" si="114"/>
        <v>0</v>
      </c>
      <c r="R199" s="7"/>
    </row>
    <row r="200" spans="1:18" ht="15.6" x14ac:dyDescent="0.25">
      <c r="A200" s="66">
        <f>IF(G200&lt;&gt;"",1+MAX($A$2:A199),"")</f>
        <v>119</v>
      </c>
      <c r="B200" s="155" t="s">
        <v>165</v>
      </c>
      <c r="C200" s="158" t="s">
        <v>169</v>
      </c>
      <c r="D200" s="24" t="s">
        <v>168</v>
      </c>
      <c r="E200" s="35" t="s">
        <v>7</v>
      </c>
      <c r="F200" s="27">
        <v>1109.99</v>
      </c>
      <c r="G200" s="34">
        <v>0.1</v>
      </c>
      <c r="H200" s="35">
        <f t="shared" ref="H200" si="144">(G200*F200)+F200</f>
        <v>1220.989</v>
      </c>
      <c r="I200" s="190">
        <v>1.4999999999999999E-2</v>
      </c>
      <c r="J200" s="223">
        <v>40</v>
      </c>
      <c r="K200" s="36">
        <f t="shared" ref="K200" si="145">I200*J200</f>
        <v>0.6</v>
      </c>
      <c r="L200" s="36">
        <v>0.16</v>
      </c>
      <c r="M200" s="37">
        <f t="shared" ref="M200" si="146">+L200+K200</f>
        <v>0.76</v>
      </c>
      <c r="N200" s="39">
        <f t="shared" ref="N200" si="147">H200*M200</f>
        <v>927.95164</v>
      </c>
      <c r="O200" s="7"/>
      <c r="P200" s="254">
        <f t="shared" si="113"/>
        <v>732.59339999999997</v>
      </c>
      <c r="Q200" s="255">
        <f t="shared" si="114"/>
        <v>195.35824000000002</v>
      </c>
      <c r="R200" s="7"/>
    </row>
    <row r="201" spans="1:18" ht="15.6" x14ac:dyDescent="0.25">
      <c r="A201" s="66" t="str">
        <f>IF(G201&lt;&gt;"",1+MAX($A$2:A200),"")</f>
        <v/>
      </c>
      <c r="B201" s="67"/>
      <c r="C201" s="32"/>
      <c r="D201" s="24"/>
      <c r="E201" s="35"/>
      <c r="F201" s="35"/>
      <c r="G201" s="34"/>
      <c r="H201" s="35"/>
      <c r="I201" s="190"/>
      <c r="J201" s="223"/>
      <c r="K201" s="36"/>
      <c r="L201" s="36"/>
      <c r="M201" s="37"/>
      <c r="N201" s="39"/>
      <c r="O201" s="7"/>
      <c r="P201" s="254">
        <f t="shared" si="113"/>
        <v>0</v>
      </c>
      <c r="Q201" s="255">
        <f t="shared" si="114"/>
        <v>0</v>
      </c>
      <c r="R201" s="7"/>
    </row>
    <row r="202" spans="1:18" ht="18" customHeight="1" x14ac:dyDescent="0.3">
      <c r="A202" s="85" t="str">
        <f>IF(G202&lt;&gt;"",1+MAX($A$2:A201),"")</f>
        <v/>
      </c>
      <c r="B202" s="171"/>
      <c r="C202" s="172"/>
      <c r="D202" s="56" t="s">
        <v>48</v>
      </c>
      <c r="E202" s="123"/>
      <c r="F202" s="63"/>
      <c r="G202" s="64"/>
      <c r="H202" s="35"/>
      <c r="I202" s="65"/>
      <c r="J202" s="226"/>
      <c r="K202" s="59"/>
      <c r="L202" s="59"/>
      <c r="M202" s="37"/>
      <c r="N202" s="39"/>
      <c r="O202" s="7"/>
      <c r="P202" s="254">
        <f t="shared" si="113"/>
        <v>0</v>
      </c>
      <c r="Q202" s="255">
        <f t="shared" si="114"/>
        <v>0</v>
      </c>
      <c r="R202" s="7"/>
    </row>
    <row r="203" spans="1:18" ht="17.399999999999999" x14ac:dyDescent="0.3">
      <c r="A203" s="66" t="str">
        <f>IF(G203&lt;&gt;"",1+MAX($A$2:A202),"")</f>
        <v/>
      </c>
      <c r="B203" s="173"/>
      <c r="C203" s="160"/>
      <c r="D203" s="68" t="s">
        <v>212</v>
      </c>
      <c r="E203" s="25"/>
      <c r="F203" s="35"/>
      <c r="G203" s="34"/>
      <c r="H203" s="35"/>
      <c r="I203" s="65"/>
      <c r="J203" s="226"/>
      <c r="K203" s="36"/>
      <c r="L203" s="36"/>
      <c r="M203" s="37"/>
      <c r="N203" s="39"/>
      <c r="O203" s="7"/>
      <c r="P203" s="254">
        <f t="shared" si="113"/>
        <v>0</v>
      </c>
      <c r="Q203" s="255">
        <f t="shared" si="114"/>
        <v>0</v>
      </c>
      <c r="R203" s="7"/>
    </row>
    <row r="204" spans="1:18" ht="15.6" x14ac:dyDescent="0.25">
      <c r="A204" s="66">
        <f>IF(G204&lt;&gt;"",1+MAX($A$2:A203),"")</f>
        <v>120</v>
      </c>
      <c r="B204" s="317" t="s">
        <v>109</v>
      </c>
      <c r="C204" s="317" t="s">
        <v>254</v>
      </c>
      <c r="D204" s="24" t="s">
        <v>244</v>
      </c>
      <c r="E204" s="25" t="s">
        <v>7</v>
      </c>
      <c r="F204" s="35">
        <f>(10*(13+421-125+7+6.5))+(4*(90+836-10.73+21.6))+(2*(24))</f>
        <v>7020.48</v>
      </c>
      <c r="G204" s="34">
        <v>0.1</v>
      </c>
      <c r="H204" s="35">
        <f>(G204*F204)+F204</f>
        <v>7722.5279999999993</v>
      </c>
      <c r="I204" s="190"/>
      <c r="J204" s="223"/>
      <c r="K204" s="36"/>
      <c r="L204" s="36"/>
      <c r="M204" s="37"/>
      <c r="N204" s="39"/>
      <c r="O204" s="7"/>
      <c r="P204" s="254">
        <f t="shared" si="113"/>
        <v>0</v>
      </c>
      <c r="Q204" s="255">
        <f t="shared" si="114"/>
        <v>0</v>
      </c>
      <c r="R204" s="7"/>
    </row>
    <row r="205" spans="1:18" ht="15.6" x14ac:dyDescent="0.25">
      <c r="A205" s="66">
        <f>IF(G205&lt;&gt;"",1+MAX($A$2:A204),"")</f>
        <v>121</v>
      </c>
      <c r="B205" s="322"/>
      <c r="C205" s="322"/>
      <c r="D205" s="146" t="s">
        <v>66</v>
      </c>
      <c r="E205" s="25" t="s">
        <v>27</v>
      </c>
      <c r="F205" s="35">
        <f>ROUNDUP(H204/32,0)</f>
        <v>242</v>
      </c>
      <c r="G205" s="34">
        <v>0</v>
      </c>
      <c r="H205" s="35">
        <f t="shared" ref="H205:H208" si="148">(G205*F205)+F205</f>
        <v>242</v>
      </c>
      <c r="I205" s="190">
        <v>0.3</v>
      </c>
      <c r="J205" s="223">
        <v>30</v>
      </c>
      <c r="K205" s="36">
        <f t="shared" ref="K205:K208" si="149">I205*J205</f>
        <v>9</v>
      </c>
      <c r="L205" s="36">
        <v>19.25</v>
      </c>
      <c r="M205" s="37">
        <f t="shared" ref="M205:M208" si="150">+L205+K205</f>
        <v>28.25</v>
      </c>
      <c r="N205" s="39">
        <f t="shared" ref="N205:N208" si="151">H205*M205</f>
        <v>6836.5</v>
      </c>
      <c r="O205" s="7"/>
      <c r="P205" s="254">
        <f t="shared" si="113"/>
        <v>2178</v>
      </c>
      <c r="Q205" s="255">
        <f t="shared" si="114"/>
        <v>4658.5</v>
      </c>
      <c r="R205" s="7"/>
    </row>
    <row r="206" spans="1:18" ht="15.6" x14ac:dyDescent="0.25">
      <c r="A206" s="66">
        <f>IF(G206&lt;&gt;"",1+MAX($A$2:A205),"")</f>
        <v>122</v>
      </c>
      <c r="B206" s="322"/>
      <c r="C206" s="322"/>
      <c r="D206" s="146" t="s">
        <v>67</v>
      </c>
      <c r="E206" s="25" t="s">
        <v>29</v>
      </c>
      <c r="F206" s="35">
        <f>F204/32*16</f>
        <v>3510.24</v>
      </c>
      <c r="G206" s="34">
        <v>0.1</v>
      </c>
      <c r="H206" s="35">
        <f t="shared" si="148"/>
        <v>3861.2639999999997</v>
      </c>
      <c r="I206" s="190">
        <v>8.0000000000000002E-3</v>
      </c>
      <c r="J206" s="223">
        <v>30</v>
      </c>
      <c r="K206" s="36">
        <f t="shared" si="149"/>
        <v>0.24</v>
      </c>
      <c r="L206" s="36">
        <v>0.05</v>
      </c>
      <c r="M206" s="37">
        <f t="shared" si="150"/>
        <v>0.28999999999999998</v>
      </c>
      <c r="N206" s="39">
        <f t="shared" si="151"/>
        <v>1119.7665599999998</v>
      </c>
      <c r="O206" s="7"/>
      <c r="P206" s="254">
        <f t="shared" si="113"/>
        <v>926.70335999999986</v>
      </c>
      <c r="Q206" s="255">
        <f t="shared" si="114"/>
        <v>193.06319999999999</v>
      </c>
      <c r="R206" s="7"/>
    </row>
    <row r="207" spans="1:18" ht="15.6" x14ac:dyDescent="0.25">
      <c r="A207" s="66">
        <f>IF(G207&lt;&gt;"",1+MAX($A$2:A206),"")</f>
        <v>123</v>
      </c>
      <c r="B207" s="322"/>
      <c r="C207" s="322"/>
      <c r="D207" s="146" t="s">
        <v>68</v>
      </c>
      <c r="E207" s="25" t="s">
        <v>70</v>
      </c>
      <c r="F207" s="35">
        <f>0.052*F204</f>
        <v>365.06495999999999</v>
      </c>
      <c r="G207" s="34">
        <v>0.1</v>
      </c>
      <c r="H207" s="35">
        <f t="shared" si="148"/>
        <v>401.57145600000001</v>
      </c>
      <c r="I207" s="190">
        <v>0.1</v>
      </c>
      <c r="J207" s="223">
        <v>30</v>
      </c>
      <c r="K207" s="36">
        <f t="shared" si="149"/>
        <v>3</v>
      </c>
      <c r="L207" s="36">
        <v>0.62</v>
      </c>
      <c r="M207" s="37">
        <f t="shared" si="150"/>
        <v>3.62</v>
      </c>
      <c r="N207" s="39">
        <f t="shared" si="151"/>
        <v>1453.6886707200001</v>
      </c>
      <c r="O207" s="7"/>
      <c r="P207" s="254">
        <f t="shared" si="113"/>
        <v>1204.7143679999999</v>
      </c>
      <c r="Q207" s="255">
        <f t="shared" si="114"/>
        <v>248.97430272</v>
      </c>
      <c r="R207" s="7"/>
    </row>
    <row r="208" spans="1:18" ht="15.6" x14ac:dyDescent="0.25">
      <c r="A208" s="66">
        <f>IF(G208&lt;&gt;"",1+MAX($A$2:A207),"")</f>
        <v>124</v>
      </c>
      <c r="B208" s="318"/>
      <c r="C208" s="318"/>
      <c r="D208" s="146" t="s">
        <v>69</v>
      </c>
      <c r="E208" s="25" t="s">
        <v>27</v>
      </c>
      <c r="F208" s="35">
        <f>F205*48</f>
        <v>11616</v>
      </c>
      <c r="G208" s="34">
        <v>0</v>
      </c>
      <c r="H208" s="35">
        <f t="shared" si="148"/>
        <v>11616</v>
      </c>
      <c r="I208" s="190">
        <v>0</v>
      </c>
      <c r="J208" s="223">
        <v>30</v>
      </c>
      <c r="K208" s="36">
        <f t="shared" si="149"/>
        <v>0</v>
      </c>
      <c r="L208" s="36">
        <v>0.04</v>
      </c>
      <c r="M208" s="37">
        <f t="shared" si="150"/>
        <v>0.04</v>
      </c>
      <c r="N208" s="39">
        <f t="shared" si="151"/>
        <v>464.64</v>
      </c>
      <c r="O208" s="7"/>
      <c r="P208" s="254">
        <f t="shared" si="113"/>
        <v>0</v>
      </c>
      <c r="Q208" s="255">
        <f t="shared" si="114"/>
        <v>464.64</v>
      </c>
      <c r="R208" s="7"/>
    </row>
    <row r="209" spans="1:18" ht="15.6" x14ac:dyDescent="0.25">
      <c r="A209" s="66">
        <f>IF(G209&lt;&gt;"",1+MAX($A$2:A208),"")</f>
        <v>125</v>
      </c>
      <c r="B209" s="317" t="s">
        <v>109</v>
      </c>
      <c r="C209" s="317" t="s">
        <v>253</v>
      </c>
      <c r="D209" s="24" t="s">
        <v>245</v>
      </c>
      <c r="E209" s="25" t="s">
        <v>7</v>
      </c>
      <c r="F209" s="35">
        <f>(10*(125+11.5))+(4*(10.73))</f>
        <v>1407.92</v>
      </c>
      <c r="G209" s="34">
        <v>0.1</v>
      </c>
      <c r="H209" s="35">
        <f>(G209*F209)+F209</f>
        <v>1548.712</v>
      </c>
      <c r="I209" s="190"/>
      <c r="J209" s="223"/>
      <c r="K209" s="36"/>
      <c r="L209" s="36"/>
      <c r="M209" s="37"/>
      <c r="N209" s="39"/>
      <c r="O209" s="7"/>
      <c r="P209" s="254">
        <f t="shared" si="113"/>
        <v>0</v>
      </c>
      <c r="Q209" s="255">
        <f t="shared" si="114"/>
        <v>0</v>
      </c>
      <c r="R209" s="7"/>
    </row>
    <row r="210" spans="1:18" ht="15.6" x14ac:dyDescent="0.25">
      <c r="A210" s="66">
        <f>IF(G210&lt;&gt;"",1+MAX($A$2:A209),"")</f>
        <v>126</v>
      </c>
      <c r="B210" s="322"/>
      <c r="C210" s="322"/>
      <c r="D210" s="146" t="s">
        <v>66</v>
      </c>
      <c r="E210" s="25" t="s">
        <v>27</v>
      </c>
      <c r="F210" s="35">
        <f>ROUNDUP(H209/32,0)</f>
        <v>49</v>
      </c>
      <c r="G210" s="34">
        <v>0</v>
      </c>
      <c r="H210" s="35">
        <f t="shared" ref="H210:H213" si="152">(G210*F210)+F210</f>
        <v>49</v>
      </c>
      <c r="I210" s="190">
        <v>0.3</v>
      </c>
      <c r="J210" s="223">
        <v>30</v>
      </c>
      <c r="K210" s="36">
        <f t="shared" ref="K210:K213" si="153">I210*J210</f>
        <v>9</v>
      </c>
      <c r="L210" s="36">
        <v>20.5</v>
      </c>
      <c r="M210" s="37">
        <f t="shared" ref="M210" si="154">+L210+K210</f>
        <v>29.5</v>
      </c>
      <c r="N210" s="39">
        <f t="shared" ref="N210" si="155">H210*M210</f>
        <v>1445.5</v>
      </c>
      <c r="O210" s="7"/>
      <c r="P210" s="254">
        <f t="shared" si="113"/>
        <v>441</v>
      </c>
      <c r="Q210" s="255">
        <f t="shared" si="114"/>
        <v>1004.5</v>
      </c>
      <c r="R210" s="7"/>
    </row>
    <row r="211" spans="1:18" ht="15.6" x14ac:dyDescent="0.25">
      <c r="A211" s="66">
        <f>IF(G211&lt;&gt;"",1+MAX($A$2:A210),"")</f>
        <v>127</v>
      </c>
      <c r="B211" s="322"/>
      <c r="C211" s="322"/>
      <c r="D211" s="146" t="s">
        <v>67</v>
      </c>
      <c r="E211" s="25" t="s">
        <v>29</v>
      </c>
      <c r="F211" s="35">
        <f>F209/32*16</f>
        <v>703.96</v>
      </c>
      <c r="G211" s="34">
        <v>0.1</v>
      </c>
      <c r="H211" s="35">
        <f t="shared" si="152"/>
        <v>774.35599999999999</v>
      </c>
      <c r="I211" s="190">
        <v>8.0000000000000002E-3</v>
      </c>
      <c r="J211" s="223">
        <v>30</v>
      </c>
      <c r="K211" s="36">
        <f t="shared" si="153"/>
        <v>0.24</v>
      </c>
      <c r="L211" s="36">
        <v>0.05</v>
      </c>
      <c r="M211" s="37">
        <f t="shared" ref="M211:M213" si="156">+L211+K211</f>
        <v>0.28999999999999998</v>
      </c>
      <c r="N211" s="39">
        <f t="shared" ref="N211:N213" si="157">H211*M211</f>
        <v>224.56323999999998</v>
      </c>
      <c r="O211" s="7"/>
      <c r="P211" s="254">
        <f t="shared" si="113"/>
        <v>185.84544</v>
      </c>
      <c r="Q211" s="255">
        <f t="shared" si="114"/>
        <v>38.717800000000004</v>
      </c>
      <c r="R211" s="7"/>
    </row>
    <row r="212" spans="1:18" ht="15.6" x14ac:dyDescent="0.25">
      <c r="A212" s="66">
        <f>IF(G212&lt;&gt;"",1+MAX($A$2:A211),"")</f>
        <v>128</v>
      </c>
      <c r="B212" s="322"/>
      <c r="C212" s="322"/>
      <c r="D212" s="146" t="s">
        <v>68</v>
      </c>
      <c r="E212" s="25" t="s">
        <v>70</v>
      </c>
      <c r="F212" s="35">
        <f>0.052*F209</f>
        <v>73.211839999999995</v>
      </c>
      <c r="G212" s="34">
        <v>0.1</v>
      </c>
      <c r="H212" s="35">
        <f t="shared" si="152"/>
        <v>80.533023999999997</v>
      </c>
      <c r="I212" s="190">
        <v>0.1</v>
      </c>
      <c r="J212" s="223">
        <v>30</v>
      </c>
      <c r="K212" s="36">
        <f t="shared" si="153"/>
        <v>3</v>
      </c>
      <c r="L212" s="36">
        <v>0.62</v>
      </c>
      <c r="M212" s="37">
        <f t="shared" si="156"/>
        <v>3.62</v>
      </c>
      <c r="N212" s="39">
        <f t="shared" si="157"/>
        <v>291.52954688</v>
      </c>
      <c r="O212" s="7"/>
      <c r="P212" s="254">
        <f t="shared" si="113"/>
        <v>241.59907199999998</v>
      </c>
      <c r="Q212" s="255">
        <f t="shared" si="114"/>
        <v>49.930474879999998</v>
      </c>
      <c r="R212" s="7"/>
    </row>
    <row r="213" spans="1:18" ht="15.6" x14ac:dyDescent="0.25">
      <c r="A213" s="66">
        <f>IF(G213&lt;&gt;"",1+MAX($A$2:A212),"")</f>
        <v>129</v>
      </c>
      <c r="B213" s="318"/>
      <c r="C213" s="318"/>
      <c r="D213" s="146" t="s">
        <v>69</v>
      </c>
      <c r="E213" s="25" t="s">
        <v>27</v>
      </c>
      <c r="F213" s="35">
        <f>F210*48</f>
        <v>2352</v>
      </c>
      <c r="G213" s="34">
        <v>0</v>
      </c>
      <c r="H213" s="35">
        <f t="shared" si="152"/>
        <v>2352</v>
      </c>
      <c r="I213" s="190">
        <v>0</v>
      </c>
      <c r="J213" s="223">
        <v>30</v>
      </c>
      <c r="K213" s="36">
        <f t="shared" si="153"/>
        <v>0</v>
      </c>
      <c r="L213" s="36">
        <v>0.04</v>
      </c>
      <c r="M213" s="37">
        <f t="shared" si="156"/>
        <v>0.04</v>
      </c>
      <c r="N213" s="39">
        <f t="shared" si="157"/>
        <v>94.08</v>
      </c>
      <c r="O213" s="7"/>
      <c r="P213" s="254">
        <f t="shared" si="113"/>
        <v>0</v>
      </c>
      <c r="Q213" s="255">
        <f t="shared" si="114"/>
        <v>94.08</v>
      </c>
      <c r="R213" s="7"/>
    </row>
    <row r="214" spans="1:18" ht="93.6" x14ac:dyDescent="0.25">
      <c r="A214" s="66">
        <f>IF(G214&lt;&gt;"",1+MAX($A$2:A213),"")</f>
        <v>130</v>
      </c>
      <c r="B214" s="319" t="s">
        <v>109</v>
      </c>
      <c r="C214" s="317" t="s">
        <v>148</v>
      </c>
      <c r="D214" s="159" t="s">
        <v>246</v>
      </c>
      <c r="E214" s="25" t="s">
        <v>7</v>
      </c>
      <c r="F214" s="35">
        <f>(4*60)</f>
        <v>240</v>
      </c>
      <c r="G214" s="34">
        <v>0.1</v>
      </c>
      <c r="H214" s="35">
        <f>(G214*F214)+F214</f>
        <v>264</v>
      </c>
      <c r="I214" s="190"/>
      <c r="J214" s="223"/>
      <c r="K214" s="36"/>
      <c r="L214" s="36"/>
      <c r="M214" s="37"/>
      <c r="N214" s="39"/>
      <c r="O214" s="7"/>
      <c r="P214" s="254">
        <f t="shared" si="113"/>
        <v>0</v>
      </c>
      <c r="Q214" s="255">
        <f t="shared" si="114"/>
        <v>0</v>
      </c>
      <c r="R214" s="7"/>
    </row>
    <row r="215" spans="1:18" ht="15.6" x14ac:dyDescent="0.25">
      <c r="A215" s="66">
        <f>IF(G215&lt;&gt;"",1+MAX($A$2:A214),"")</f>
        <v>131</v>
      </c>
      <c r="B215" s="320"/>
      <c r="C215" s="322"/>
      <c r="D215" s="146" t="s">
        <v>66</v>
      </c>
      <c r="E215" s="25" t="s">
        <v>27</v>
      </c>
      <c r="F215" s="35">
        <f>ROUNDUP(H214/32,0)</f>
        <v>9</v>
      </c>
      <c r="G215" s="34">
        <v>0</v>
      </c>
      <c r="H215" s="35">
        <f t="shared" ref="H215:H218" si="158">(G215*F215)+F215</f>
        <v>9</v>
      </c>
      <c r="I215" s="190">
        <v>0.3</v>
      </c>
      <c r="J215" s="223">
        <v>30</v>
      </c>
      <c r="K215" s="36">
        <f t="shared" ref="K215:K218" si="159">I215*J215</f>
        <v>9</v>
      </c>
      <c r="L215" s="36">
        <v>19.25</v>
      </c>
      <c r="M215" s="37">
        <f t="shared" ref="M215:M218" si="160">+L215+K215</f>
        <v>28.25</v>
      </c>
      <c r="N215" s="39">
        <f t="shared" ref="N215:N218" si="161">H215*M215</f>
        <v>254.25</v>
      </c>
      <c r="O215" s="7"/>
      <c r="P215" s="254">
        <f t="shared" si="113"/>
        <v>81</v>
      </c>
      <c r="Q215" s="255">
        <f t="shared" si="114"/>
        <v>173.25</v>
      </c>
      <c r="R215" s="7"/>
    </row>
    <row r="216" spans="1:18" ht="15.6" x14ac:dyDescent="0.25">
      <c r="A216" s="66">
        <f>IF(G216&lt;&gt;"",1+MAX($A$2:A215),"")</f>
        <v>132</v>
      </c>
      <c r="B216" s="320"/>
      <c r="C216" s="322"/>
      <c r="D216" s="146" t="s">
        <v>67</v>
      </c>
      <c r="E216" s="25" t="s">
        <v>29</v>
      </c>
      <c r="F216" s="35">
        <f>F214/32*16</f>
        <v>120</v>
      </c>
      <c r="G216" s="34">
        <v>0.1</v>
      </c>
      <c r="H216" s="35">
        <f t="shared" si="158"/>
        <v>132</v>
      </c>
      <c r="I216" s="190">
        <v>8.0000000000000002E-3</v>
      </c>
      <c r="J216" s="223">
        <v>30</v>
      </c>
      <c r="K216" s="36">
        <f t="shared" si="159"/>
        <v>0.24</v>
      </c>
      <c r="L216" s="36">
        <v>0.05</v>
      </c>
      <c r="M216" s="37">
        <f t="shared" si="160"/>
        <v>0.28999999999999998</v>
      </c>
      <c r="N216" s="39">
        <f t="shared" si="161"/>
        <v>38.279999999999994</v>
      </c>
      <c r="O216" s="7"/>
      <c r="P216" s="254">
        <f t="shared" si="113"/>
        <v>31.68</v>
      </c>
      <c r="Q216" s="255">
        <f t="shared" si="114"/>
        <v>6.6000000000000005</v>
      </c>
      <c r="R216" s="7"/>
    </row>
    <row r="217" spans="1:18" ht="15.6" x14ac:dyDescent="0.25">
      <c r="A217" s="66">
        <f>IF(G217&lt;&gt;"",1+MAX($A$2:A216),"")</f>
        <v>133</v>
      </c>
      <c r="B217" s="320"/>
      <c r="C217" s="322"/>
      <c r="D217" s="146" t="s">
        <v>68</v>
      </c>
      <c r="E217" s="33" t="s">
        <v>70</v>
      </c>
      <c r="F217" s="35">
        <f>0.052*F214</f>
        <v>12.479999999999999</v>
      </c>
      <c r="G217" s="34">
        <v>0.1</v>
      </c>
      <c r="H217" s="35">
        <f t="shared" si="158"/>
        <v>13.727999999999998</v>
      </c>
      <c r="I217" s="190">
        <v>0.1</v>
      </c>
      <c r="J217" s="223">
        <v>30</v>
      </c>
      <c r="K217" s="36">
        <f t="shared" si="159"/>
        <v>3</v>
      </c>
      <c r="L217" s="36">
        <v>0.62</v>
      </c>
      <c r="M217" s="37">
        <f t="shared" si="160"/>
        <v>3.62</v>
      </c>
      <c r="N217" s="39">
        <f t="shared" si="161"/>
        <v>49.695359999999994</v>
      </c>
      <c r="O217" s="7"/>
      <c r="P217" s="254">
        <f t="shared" si="113"/>
        <v>41.183999999999997</v>
      </c>
      <c r="Q217" s="255">
        <f t="shared" si="114"/>
        <v>8.511359999999998</v>
      </c>
      <c r="R217" s="7"/>
    </row>
    <row r="218" spans="1:18" ht="15.6" x14ac:dyDescent="0.25">
      <c r="A218" s="66">
        <f>IF(G218&lt;&gt;"",1+MAX($A$2:A217),"")</f>
        <v>134</v>
      </c>
      <c r="B218" s="321"/>
      <c r="C218" s="318"/>
      <c r="D218" s="146" t="s">
        <v>69</v>
      </c>
      <c r="E218" s="33" t="s">
        <v>27</v>
      </c>
      <c r="F218" s="35">
        <f>F215*48</f>
        <v>432</v>
      </c>
      <c r="G218" s="34">
        <v>0</v>
      </c>
      <c r="H218" s="35">
        <f t="shared" si="158"/>
        <v>432</v>
      </c>
      <c r="I218" s="190">
        <v>0</v>
      </c>
      <c r="J218" s="223">
        <v>30</v>
      </c>
      <c r="K218" s="36">
        <f t="shared" si="159"/>
        <v>0</v>
      </c>
      <c r="L218" s="36">
        <v>0.04</v>
      </c>
      <c r="M218" s="37">
        <f t="shared" si="160"/>
        <v>0.04</v>
      </c>
      <c r="N218" s="39">
        <f t="shared" si="161"/>
        <v>17.28</v>
      </c>
      <c r="O218" s="7"/>
      <c r="P218" s="254">
        <f t="shared" si="113"/>
        <v>0</v>
      </c>
      <c r="Q218" s="255">
        <f t="shared" si="114"/>
        <v>17.28</v>
      </c>
      <c r="R218" s="7"/>
    </row>
    <row r="219" spans="1:18" ht="93.6" x14ac:dyDescent="0.25">
      <c r="A219" s="66">
        <f>IF(G219&lt;&gt;"",1+MAX($A$2:A218),"")</f>
        <v>135</v>
      </c>
      <c r="B219" s="319" t="s">
        <v>109</v>
      </c>
      <c r="C219" s="317" t="s">
        <v>149</v>
      </c>
      <c r="D219" s="159" t="s">
        <v>300</v>
      </c>
      <c r="E219" s="33" t="s">
        <v>7</v>
      </c>
      <c r="F219" s="35">
        <f>101*10</f>
        <v>1010</v>
      </c>
      <c r="G219" s="34">
        <v>0.1</v>
      </c>
      <c r="H219" s="35">
        <f>(G219*F219)+F219</f>
        <v>1111</v>
      </c>
      <c r="I219" s="190"/>
      <c r="J219" s="223"/>
      <c r="K219" s="36"/>
      <c r="L219" s="36"/>
      <c r="M219" s="37"/>
      <c r="N219" s="39"/>
      <c r="O219" s="7"/>
      <c r="P219" s="254">
        <f t="shared" si="113"/>
        <v>0</v>
      </c>
      <c r="Q219" s="255">
        <f t="shared" si="114"/>
        <v>0</v>
      </c>
      <c r="R219" s="7"/>
    </row>
    <row r="220" spans="1:18" ht="15.6" x14ac:dyDescent="0.25">
      <c r="A220" s="66">
        <f>IF(G220&lt;&gt;"",1+MAX($A$2:A219),"")</f>
        <v>136</v>
      </c>
      <c r="B220" s="320"/>
      <c r="C220" s="322"/>
      <c r="D220" s="146" t="s">
        <v>66</v>
      </c>
      <c r="E220" s="33" t="s">
        <v>27</v>
      </c>
      <c r="F220" s="35">
        <f>ROUNDUP(H219/32,0)</f>
        <v>35</v>
      </c>
      <c r="G220" s="34">
        <v>0</v>
      </c>
      <c r="H220" s="35">
        <f t="shared" ref="H220:H223" si="162">(G220*F220)+F220</f>
        <v>35</v>
      </c>
      <c r="I220" s="190">
        <v>0.3</v>
      </c>
      <c r="J220" s="223">
        <v>30</v>
      </c>
      <c r="K220" s="36">
        <f t="shared" ref="K220:K223" si="163">I220*J220</f>
        <v>9</v>
      </c>
      <c r="L220" s="36">
        <v>19.25</v>
      </c>
      <c r="M220" s="37">
        <f t="shared" ref="M220:M223" si="164">+L220+K220</f>
        <v>28.25</v>
      </c>
      <c r="N220" s="39">
        <f t="shared" ref="N220:N223" si="165">H220*M220</f>
        <v>988.75</v>
      </c>
      <c r="O220" s="7"/>
      <c r="P220" s="254">
        <f t="shared" si="113"/>
        <v>315</v>
      </c>
      <c r="Q220" s="255">
        <f t="shared" si="114"/>
        <v>673.75</v>
      </c>
      <c r="R220" s="7"/>
    </row>
    <row r="221" spans="1:18" ht="15.6" x14ac:dyDescent="0.25">
      <c r="A221" s="66">
        <f>IF(G221&lt;&gt;"",1+MAX($A$2:A220),"")</f>
        <v>137</v>
      </c>
      <c r="B221" s="320"/>
      <c r="C221" s="322"/>
      <c r="D221" s="146" t="s">
        <v>67</v>
      </c>
      <c r="E221" s="25" t="s">
        <v>29</v>
      </c>
      <c r="F221" s="35">
        <f>F219/32*16</f>
        <v>505</v>
      </c>
      <c r="G221" s="34">
        <v>0.1</v>
      </c>
      <c r="H221" s="35">
        <f t="shared" si="162"/>
        <v>555.5</v>
      </c>
      <c r="I221" s="190">
        <v>8.0000000000000002E-3</v>
      </c>
      <c r="J221" s="223">
        <v>30</v>
      </c>
      <c r="K221" s="36">
        <f t="shared" si="163"/>
        <v>0.24</v>
      </c>
      <c r="L221" s="36">
        <v>0.05</v>
      </c>
      <c r="M221" s="37">
        <f t="shared" si="164"/>
        <v>0.28999999999999998</v>
      </c>
      <c r="N221" s="39">
        <f t="shared" si="165"/>
        <v>161.095</v>
      </c>
      <c r="O221" s="7"/>
      <c r="P221" s="254">
        <f t="shared" si="113"/>
        <v>133.32</v>
      </c>
      <c r="Q221" s="255">
        <f t="shared" si="114"/>
        <v>27.775000000000002</v>
      </c>
      <c r="R221" s="7"/>
    </row>
    <row r="222" spans="1:18" ht="15.6" x14ac:dyDescent="0.25">
      <c r="A222" s="66">
        <f>IF(G222&lt;&gt;"",1+MAX($A$2:A221),"")</f>
        <v>138</v>
      </c>
      <c r="B222" s="320"/>
      <c r="C222" s="322"/>
      <c r="D222" s="146" t="s">
        <v>68</v>
      </c>
      <c r="E222" s="25" t="s">
        <v>70</v>
      </c>
      <c r="F222" s="35">
        <f>0.052*F219</f>
        <v>52.519999999999996</v>
      </c>
      <c r="G222" s="34">
        <v>0.1</v>
      </c>
      <c r="H222" s="35">
        <f t="shared" si="162"/>
        <v>57.771999999999998</v>
      </c>
      <c r="I222" s="190">
        <v>0.1</v>
      </c>
      <c r="J222" s="223">
        <v>30</v>
      </c>
      <c r="K222" s="36">
        <f t="shared" si="163"/>
        <v>3</v>
      </c>
      <c r="L222" s="36">
        <v>0.62</v>
      </c>
      <c r="M222" s="37">
        <f t="shared" si="164"/>
        <v>3.62</v>
      </c>
      <c r="N222" s="39">
        <f t="shared" si="165"/>
        <v>209.13463999999999</v>
      </c>
      <c r="O222" s="7"/>
      <c r="P222" s="254">
        <f t="shared" ref="P222:P285" si="166">K222*H222</f>
        <v>173.316</v>
      </c>
      <c r="Q222" s="255">
        <f t="shared" ref="Q222:Q285" si="167">L222*H222</f>
        <v>35.818640000000002</v>
      </c>
      <c r="R222" s="7"/>
    </row>
    <row r="223" spans="1:18" ht="15.6" x14ac:dyDescent="0.25">
      <c r="A223" s="66">
        <f>IF(G223&lt;&gt;"",1+MAX($A$2:A222),"")</f>
        <v>139</v>
      </c>
      <c r="B223" s="321"/>
      <c r="C223" s="318"/>
      <c r="D223" s="146" t="s">
        <v>69</v>
      </c>
      <c r="E223" s="25" t="s">
        <v>27</v>
      </c>
      <c r="F223" s="35">
        <f>F220*48</f>
        <v>1680</v>
      </c>
      <c r="G223" s="34">
        <v>0</v>
      </c>
      <c r="H223" s="35">
        <f t="shared" si="162"/>
        <v>1680</v>
      </c>
      <c r="I223" s="190">
        <v>0</v>
      </c>
      <c r="J223" s="223">
        <v>30</v>
      </c>
      <c r="K223" s="36">
        <f t="shared" si="163"/>
        <v>0</v>
      </c>
      <c r="L223" s="36">
        <v>0.04</v>
      </c>
      <c r="M223" s="37">
        <f t="shared" si="164"/>
        <v>0.04</v>
      </c>
      <c r="N223" s="39">
        <f t="shared" si="165"/>
        <v>67.2</v>
      </c>
      <c r="O223" s="7"/>
      <c r="P223" s="254">
        <f t="shared" si="166"/>
        <v>0</v>
      </c>
      <c r="Q223" s="255">
        <f t="shared" si="167"/>
        <v>67.2</v>
      </c>
      <c r="R223" s="7"/>
    </row>
    <row r="224" spans="1:18" ht="93.6" x14ac:dyDescent="0.25">
      <c r="A224" s="66">
        <f>IF(G224&lt;&gt;"",1+MAX($A$2:A223),"")</f>
        <v>140</v>
      </c>
      <c r="B224" s="319" t="s">
        <v>109</v>
      </c>
      <c r="C224" s="317" t="s">
        <v>152</v>
      </c>
      <c r="D224" s="159" t="s">
        <v>247</v>
      </c>
      <c r="E224" s="60" t="s">
        <v>7</v>
      </c>
      <c r="F224" s="35">
        <f>242*4</f>
        <v>968</v>
      </c>
      <c r="G224" s="34">
        <v>0.1</v>
      </c>
      <c r="H224" s="35">
        <f>(G224*F224)+F224</f>
        <v>1064.8</v>
      </c>
      <c r="I224" s="190"/>
      <c r="J224" s="223"/>
      <c r="K224" s="36"/>
      <c r="L224" s="36"/>
      <c r="M224" s="37"/>
      <c r="N224" s="39"/>
      <c r="O224" s="7"/>
      <c r="P224" s="254">
        <f t="shared" si="166"/>
        <v>0</v>
      </c>
      <c r="Q224" s="255">
        <f t="shared" si="167"/>
        <v>0</v>
      </c>
      <c r="R224" s="7"/>
    </row>
    <row r="225" spans="1:18" ht="15.6" x14ac:dyDescent="0.25">
      <c r="A225" s="66">
        <f>IF(G225&lt;&gt;"",1+MAX($A$2:A224),"")</f>
        <v>141</v>
      </c>
      <c r="B225" s="320"/>
      <c r="C225" s="322"/>
      <c r="D225" s="146" t="s">
        <v>66</v>
      </c>
      <c r="E225" s="33" t="s">
        <v>27</v>
      </c>
      <c r="F225" s="35">
        <f>ROUNDUP(H224/32,0)</f>
        <v>34</v>
      </c>
      <c r="G225" s="34">
        <v>0</v>
      </c>
      <c r="H225" s="35">
        <f t="shared" ref="H225:H228" si="168">(G225*F225)+F225</f>
        <v>34</v>
      </c>
      <c r="I225" s="190">
        <v>0.3</v>
      </c>
      <c r="J225" s="223">
        <v>30</v>
      </c>
      <c r="K225" s="36">
        <f t="shared" ref="K225:K228" si="169">I225*J225</f>
        <v>9</v>
      </c>
      <c r="L225" s="36">
        <v>19.25</v>
      </c>
      <c r="M225" s="37">
        <f t="shared" ref="M225:M228" si="170">+L225+K225</f>
        <v>28.25</v>
      </c>
      <c r="N225" s="39">
        <f t="shared" ref="N225:N228" si="171">H225*M225</f>
        <v>960.5</v>
      </c>
      <c r="O225" s="7"/>
      <c r="P225" s="254">
        <f t="shared" si="166"/>
        <v>306</v>
      </c>
      <c r="Q225" s="255">
        <f t="shared" si="167"/>
        <v>654.5</v>
      </c>
      <c r="R225" s="7"/>
    </row>
    <row r="226" spans="1:18" ht="15.6" x14ac:dyDescent="0.25">
      <c r="A226" s="66">
        <f>IF(G226&lt;&gt;"",1+MAX($A$2:A225),"")</f>
        <v>142</v>
      </c>
      <c r="B226" s="320"/>
      <c r="C226" s="322"/>
      <c r="D226" s="146" t="s">
        <v>67</v>
      </c>
      <c r="E226" s="25" t="s">
        <v>29</v>
      </c>
      <c r="F226" s="35">
        <f>F224/32*16</f>
        <v>484</v>
      </c>
      <c r="G226" s="34">
        <v>0.1</v>
      </c>
      <c r="H226" s="35">
        <f t="shared" si="168"/>
        <v>532.4</v>
      </c>
      <c r="I226" s="190">
        <v>8.0000000000000002E-3</v>
      </c>
      <c r="J226" s="223">
        <v>30</v>
      </c>
      <c r="K226" s="36">
        <f t="shared" si="169"/>
        <v>0.24</v>
      </c>
      <c r="L226" s="36">
        <v>0.05</v>
      </c>
      <c r="M226" s="37">
        <f t="shared" si="170"/>
        <v>0.28999999999999998</v>
      </c>
      <c r="N226" s="39">
        <f t="shared" si="171"/>
        <v>154.39599999999999</v>
      </c>
      <c r="O226" s="7"/>
      <c r="P226" s="254">
        <f t="shared" si="166"/>
        <v>127.776</v>
      </c>
      <c r="Q226" s="255">
        <f t="shared" si="167"/>
        <v>26.62</v>
      </c>
      <c r="R226" s="7"/>
    </row>
    <row r="227" spans="1:18" ht="15.6" x14ac:dyDescent="0.25">
      <c r="A227" s="66">
        <f>IF(G227&lt;&gt;"",1+MAX($A$2:A226),"")</f>
        <v>143</v>
      </c>
      <c r="B227" s="320"/>
      <c r="C227" s="322"/>
      <c r="D227" s="146" t="s">
        <v>68</v>
      </c>
      <c r="E227" s="25" t="s">
        <v>70</v>
      </c>
      <c r="F227" s="35">
        <f>0.052*F224</f>
        <v>50.335999999999999</v>
      </c>
      <c r="G227" s="34">
        <v>0.1</v>
      </c>
      <c r="H227" s="35">
        <f t="shared" si="168"/>
        <v>55.369599999999998</v>
      </c>
      <c r="I227" s="190">
        <v>0.1</v>
      </c>
      <c r="J227" s="223">
        <v>30</v>
      </c>
      <c r="K227" s="36">
        <f t="shared" si="169"/>
        <v>3</v>
      </c>
      <c r="L227" s="36">
        <v>0.62</v>
      </c>
      <c r="M227" s="37">
        <f t="shared" si="170"/>
        <v>3.62</v>
      </c>
      <c r="N227" s="39">
        <f t="shared" si="171"/>
        <v>200.437952</v>
      </c>
      <c r="O227" s="7"/>
      <c r="P227" s="254">
        <f t="shared" si="166"/>
        <v>166.1088</v>
      </c>
      <c r="Q227" s="255">
        <f t="shared" si="167"/>
        <v>34.329152000000001</v>
      </c>
      <c r="R227" s="7"/>
    </row>
    <row r="228" spans="1:18" ht="15.6" x14ac:dyDescent="0.25">
      <c r="A228" s="66">
        <f>IF(G228&lt;&gt;"",1+MAX($A$2:A227),"")</f>
        <v>144</v>
      </c>
      <c r="B228" s="321"/>
      <c r="C228" s="318"/>
      <c r="D228" s="146" t="s">
        <v>69</v>
      </c>
      <c r="E228" s="25" t="s">
        <v>27</v>
      </c>
      <c r="F228" s="35">
        <f>F225*48</f>
        <v>1632</v>
      </c>
      <c r="G228" s="34">
        <v>0</v>
      </c>
      <c r="H228" s="35">
        <f t="shared" si="168"/>
        <v>1632</v>
      </c>
      <c r="I228" s="190">
        <v>0</v>
      </c>
      <c r="J228" s="223">
        <v>30</v>
      </c>
      <c r="K228" s="36">
        <f t="shared" si="169"/>
        <v>0</v>
      </c>
      <c r="L228" s="36">
        <v>0.04</v>
      </c>
      <c r="M228" s="37">
        <f t="shared" si="170"/>
        <v>0.04</v>
      </c>
      <c r="N228" s="39">
        <f t="shared" si="171"/>
        <v>65.28</v>
      </c>
      <c r="O228" s="7"/>
      <c r="P228" s="254">
        <f t="shared" si="166"/>
        <v>0</v>
      </c>
      <c r="Q228" s="255">
        <f t="shared" si="167"/>
        <v>65.28</v>
      </c>
      <c r="R228" s="7"/>
    </row>
    <row r="229" spans="1:18" ht="15.6" x14ac:dyDescent="0.25">
      <c r="A229" s="66">
        <f>IF(G229&lt;&gt;"",1+MAX($A$2:A228),"")</f>
        <v>145</v>
      </c>
      <c r="B229" s="317" t="s">
        <v>109</v>
      </c>
      <c r="C229" s="317" t="s">
        <v>211</v>
      </c>
      <c r="D229" s="24" t="s">
        <v>243</v>
      </c>
      <c r="E229" s="25" t="s">
        <v>7</v>
      </c>
      <c r="F229" s="35">
        <f>(10*(13))</f>
        <v>130</v>
      </c>
      <c r="G229" s="34">
        <v>0.1</v>
      </c>
      <c r="H229" s="35">
        <f>(G229*F229)+F229</f>
        <v>143</v>
      </c>
      <c r="I229" s="190"/>
      <c r="J229" s="223"/>
      <c r="K229" s="36"/>
      <c r="L229" s="36"/>
      <c r="M229" s="37"/>
      <c r="N229" s="39"/>
      <c r="O229" s="7"/>
      <c r="P229" s="254">
        <f t="shared" si="166"/>
        <v>0</v>
      </c>
      <c r="Q229" s="255">
        <f t="shared" si="167"/>
        <v>0</v>
      </c>
      <c r="R229" s="7"/>
    </row>
    <row r="230" spans="1:18" ht="15.6" x14ac:dyDescent="0.25">
      <c r="A230" s="66">
        <f>IF(G230&lt;&gt;"",1+MAX($A$2:A229),"")</f>
        <v>146</v>
      </c>
      <c r="B230" s="322"/>
      <c r="C230" s="322"/>
      <c r="D230" s="146" t="s">
        <v>66</v>
      </c>
      <c r="E230" s="25" t="s">
        <v>27</v>
      </c>
      <c r="F230" s="35">
        <f>ROUNDUP(H229/32,0)</f>
        <v>5</v>
      </c>
      <c r="G230" s="34">
        <v>0</v>
      </c>
      <c r="H230" s="35">
        <f t="shared" ref="H230:H233" si="172">(G230*F230)+F230</f>
        <v>5</v>
      </c>
      <c r="I230" s="190">
        <v>0.3</v>
      </c>
      <c r="J230" s="223">
        <v>30</v>
      </c>
      <c r="K230" s="36">
        <f t="shared" ref="K230:K233" si="173">I230*J230</f>
        <v>9</v>
      </c>
      <c r="L230" s="36">
        <v>20.5</v>
      </c>
      <c r="M230" s="37">
        <f t="shared" ref="M230:M233" si="174">+L230+K230</f>
        <v>29.5</v>
      </c>
      <c r="N230" s="39">
        <f t="shared" ref="N230:N233" si="175">H230*M230</f>
        <v>147.5</v>
      </c>
      <c r="O230" s="7"/>
      <c r="P230" s="254">
        <f t="shared" si="166"/>
        <v>45</v>
      </c>
      <c r="Q230" s="255">
        <f t="shared" si="167"/>
        <v>102.5</v>
      </c>
      <c r="R230" s="7"/>
    </row>
    <row r="231" spans="1:18" ht="15.6" x14ac:dyDescent="0.25">
      <c r="A231" s="66">
        <f>IF(G231&lt;&gt;"",1+MAX($A$2:A230),"")</f>
        <v>147</v>
      </c>
      <c r="B231" s="322"/>
      <c r="C231" s="322"/>
      <c r="D231" s="146" t="s">
        <v>67</v>
      </c>
      <c r="E231" s="25" t="s">
        <v>29</v>
      </c>
      <c r="F231" s="35">
        <f>F229/32*16</f>
        <v>65</v>
      </c>
      <c r="G231" s="34">
        <v>0.1</v>
      </c>
      <c r="H231" s="35">
        <f t="shared" si="172"/>
        <v>71.5</v>
      </c>
      <c r="I231" s="190">
        <v>8.0000000000000002E-3</v>
      </c>
      <c r="J231" s="223">
        <v>30</v>
      </c>
      <c r="K231" s="36">
        <f t="shared" si="173"/>
        <v>0.24</v>
      </c>
      <c r="L231" s="36">
        <v>0.05</v>
      </c>
      <c r="M231" s="37">
        <f t="shared" si="174"/>
        <v>0.28999999999999998</v>
      </c>
      <c r="N231" s="39">
        <f t="shared" si="175"/>
        <v>20.734999999999999</v>
      </c>
      <c r="O231" s="7"/>
      <c r="P231" s="254">
        <f t="shared" si="166"/>
        <v>17.16</v>
      </c>
      <c r="Q231" s="255">
        <f t="shared" si="167"/>
        <v>3.5750000000000002</v>
      </c>
      <c r="R231" s="7"/>
    </row>
    <row r="232" spans="1:18" ht="15.6" x14ac:dyDescent="0.25">
      <c r="A232" s="66">
        <f>IF(G232&lt;&gt;"",1+MAX($A$2:A231),"")</f>
        <v>148</v>
      </c>
      <c r="B232" s="322"/>
      <c r="C232" s="322"/>
      <c r="D232" s="146" t="s">
        <v>68</v>
      </c>
      <c r="E232" s="25" t="s">
        <v>70</v>
      </c>
      <c r="F232" s="35">
        <f>0.052*F229</f>
        <v>6.76</v>
      </c>
      <c r="G232" s="34">
        <v>0.1</v>
      </c>
      <c r="H232" s="35">
        <f t="shared" si="172"/>
        <v>7.4359999999999999</v>
      </c>
      <c r="I232" s="190">
        <v>0.1</v>
      </c>
      <c r="J232" s="223">
        <v>30</v>
      </c>
      <c r="K232" s="36">
        <f t="shared" si="173"/>
        <v>3</v>
      </c>
      <c r="L232" s="36">
        <v>0.62</v>
      </c>
      <c r="M232" s="37">
        <f t="shared" si="174"/>
        <v>3.62</v>
      </c>
      <c r="N232" s="39">
        <f t="shared" si="175"/>
        <v>26.918320000000001</v>
      </c>
      <c r="O232" s="7"/>
      <c r="P232" s="254">
        <f t="shared" si="166"/>
        <v>22.308</v>
      </c>
      <c r="Q232" s="255">
        <f t="shared" si="167"/>
        <v>4.6103199999999998</v>
      </c>
      <c r="R232" s="7"/>
    </row>
    <row r="233" spans="1:18" ht="15.6" x14ac:dyDescent="0.25">
      <c r="A233" s="66">
        <f>IF(G233&lt;&gt;"",1+MAX($A$2:A232),"")</f>
        <v>149</v>
      </c>
      <c r="B233" s="318"/>
      <c r="C233" s="318"/>
      <c r="D233" s="146" t="s">
        <v>69</v>
      </c>
      <c r="E233" s="25" t="s">
        <v>27</v>
      </c>
      <c r="F233" s="35">
        <f>F230*48</f>
        <v>240</v>
      </c>
      <c r="G233" s="34">
        <v>0</v>
      </c>
      <c r="H233" s="35">
        <f t="shared" si="172"/>
        <v>240</v>
      </c>
      <c r="I233" s="190">
        <v>0</v>
      </c>
      <c r="J233" s="223">
        <v>30</v>
      </c>
      <c r="K233" s="36">
        <f t="shared" si="173"/>
        <v>0</v>
      </c>
      <c r="L233" s="36">
        <v>0.04</v>
      </c>
      <c r="M233" s="37">
        <f t="shared" si="174"/>
        <v>0.04</v>
      </c>
      <c r="N233" s="39">
        <f t="shared" si="175"/>
        <v>9.6</v>
      </c>
      <c r="O233" s="7"/>
      <c r="P233" s="254">
        <f t="shared" si="166"/>
        <v>0</v>
      </c>
      <c r="Q233" s="255">
        <f t="shared" si="167"/>
        <v>9.6</v>
      </c>
      <c r="R233" s="7"/>
    </row>
    <row r="234" spans="1:18" ht="15.6" x14ac:dyDescent="0.25">
      <c r="A234" s="66">
        <f>IF(G234&lt;&gt;"",1+MAX($A$2:A233),"")</f>
        <v>150</v>
      </c>
      <c r="B234" s="317" t="s">
        <v>230</v>
      </c>
      <c r="C234" s="317" t="s">
        <v>249</v>
      </c>
      <c r="D234" s="24" t="s">
        <v>250</v>
      </c>
      <c r="E234" s="25" t="s">
        <v>7</v>
      </c>
      <c r="F234" s="35">
        <f>(10*(13))+25</f>
        <v>155</v>
      </c>
      <c r="G234" s="34">
        <v>0.1</v>
      </c>
      <c r="H234" s="35">
        <f>(G234*F234)+F234</f>
        <v>170.5</v>
      </c>
      <c r="I234" s="190"/>
      <c r="J234" s="223"/>
      <c r="K234" s="36"/>
      <c r="L234" s="36"/>
      <c r="M234" s="37"/>
      <c r="N234" s="39"/>
      <c r="O234" s="7"/>
      <c r="P234" s="254">
        <f t="shared" si="166"/>
        <v>0</v>
      </c>
      <c r="Q234" s="255">
        <f t="shared" si="167"/>
        <v>0</v>
      </c>
      <c r="R234" s="7"/>
    </row>
    <row r="235" spans="1:18" ht="15.6" x14ac:dyDescent="0.25">
      <c r="A235" s="66">
        <f>IF(G235&lt;&gt;"",1+MAX($A$2:A234),"")</f>
        <v>151</v>
      </c>
      <c r="B235" s="322"/>
      <c r="C235" s="322"/>
      <c r="D235" s="146" t="s">
        <v>66</v>
      </c>
      <c r="E235" s="25" t="s">
        <v>27</v>
      </c>
      <c r="F235" s="35">
        <f>ROUNDUP(H234/32,0)</f>
        <v>6</v>
      </c>
      <c r="G235" s="34">
        <v>0</v>
      </c>
      <c r="H235" s="35">
        <f t="shared" ref="H235:H238" si="176">(G235*F235)+F235</f>
        <v>6</v>
      </c>
      <c r="I235" s="190">
        <v>0.3</v>
      </c>
      <c r="J235" s="223">
        <v>30</v>
      </c>
      <c r="K235" s="36">
        <f t="shared" ref="K235:K238" si="177">I235*J235</f>
        <v>9</v>
      </c>
      <c r="L235" s="36">
        <v>32.5</v>
      </c>
      <c r="M235" s="37">
        <f t="shared" ref="M235:M238" si="178">+L235+K235</f>
        <v>41.5</v>
      </c>
      <c r="N235" s="39">
        <f t="shared" ref="N235:N238" si="179">H235*M235</f>
        <v>249</v>
      </c>
      <c r="O235" s="7"/>
      <c r="P235" s="254">
        <f t="shared" si="166"/>
        <v>54</v>
      </c>
      <c r="Q235" s="255">
        <f t="shared" si="167"/>
        <v>195</v>
      </c>
      <c r="R235" s="7"/>
    </row>
    <row r="236" spans="1:18" ht="15.6" x14ac:dyDescent="0.25">
      <c r="A236" s="66">
        <f>IF(G236&lt;&gt;"",1+MAX($A$2:A235),"")</f>
        <v>152</v>
      </c>
      <c r="B236" s="322"/>
      <c r="C236" s="322"/>
      <c r="D236" s="146" t="s">
        <v>67</v>
      </c>
      <c r="E236" s="25" t="s">
        <v>29</v>
      </c>
      <c r="F236" s="35">
        <f>F234/32*16</f>
        <v>77.5</v>
      </c>
      <c r="G236" s="34">
        <v>0.1</v>
      </c>
      <c r="H236" s="35">
        <f t="shared" si="176"/>
        <v>85.25</v>
      </c>
      <c r="I236" s="190">
        <v>8.0000000000000002E-3</v>
      </c>
      <c r="J236" s="223">
        <v>30</v>
      </c>
      <c r="K236" s="36">
        <f t="shared" si="177"/>
        <v>0.24</v>
      </c>
      <c r="L236" s="36">
        <v>0.05</v>
      </c>
      <c r="M236" s="37">
        <f t="shared" si="178"/>
        <v>0.28999999999999998</v>
      </c>
      <c r="N236" s="39">
        <f t="shared" si="179"/>
        <v>24.722499999999997</v>
      </c>
      <c r="O236" s="7"/>
      <c r="P236" s="254">
        <f t="shared" si="166"/>
        <v>20.46</v>
      </c>
      <c r="Q236" s="255">
        <f t="shared" si="167"/>
        <v>4.2625000000000002</v>
      </c>
      <c r="R236" s="7"/>
    </row>
    <row r="237" spans="1:18" ht="15.6" x14ac:dyDescent="0.25">
      <c r="A237" s="66">
        <f>IF(G237&lt;&gt;"",1+MAX($A$2:A236),"")</f>
        <v>153</v>
      </c>
      <c r="B237" s="322"/>
      <c r="C237" s="322"/>
      <c r="D237" s="146" t="s">
        <v>68</v>
      </c>
      <c r="E237" s="25" t="s">
        <v>70</v>
      </c>
      <c r="F237" s="35">
        <f>0.052*F234</f>
        <v>8.06</v>
      </c>
      <c r="G237" s="34">
        <v>0.1</v>
      </c>
      <c r="H237" s="35">
        <f t="shared" si="176"/>
        <v>8.8659999999999997</v>
      </c>
      <c r="I237" s="190">
        <v>0.1</v>
      </c>
      <c r="J237" s="223">
        <v>30</v>
      </c>
      <c r="K237" s="36">
        <f t="shared" si="177"/>
        <v>3</v>
      </c>
      <c r="L237" s="36">
        <v>0.62</v>
      </c>
      <c r="M237" s="37">
        <f t="shared" si="178"/>
        <v>3.62</v>
      </c>
      <c r="N237" s="39">
        <f t="shared" si="179"/>
        <v>32.094920000000002</v>
      </c>
      <c r="O237" s="7"/>
      <c r="P237" s="254">
        <f t="shared" si="166"/>
        <v>26.597999999999999</v>
      </c>
      <c r="Q237" s="255">
        <f t="shared" si="167"/>
        <v>5.4969199999999994</v>
      </c>
      <c r="R237" s="7"/>
    </row>
    <row r="238" spans="1:18" ht="15.6" x14ac:dyDescent="0.25">
      <c r="A238" s="66">
        <f>IF(G238&lt;&gt;"",1+MAX($A$2:A237),"")</f>
        <v>154</v>
      </c>
      <c r="B238" s="318"/>
      <c r="C238" s="318"/>
      <c r="D238" s="146" t="s">
        <v>69</v>
      </c>
      <c r="E238" s="25" t="s">
        <v>27</v>
      </c>
      <c r="F238" s="35">
        <f>F235*48</f>
        <v>288</v>
      </c>
      <c r="G238" s="34">
        <v>0</v>
      </c>
      <c r="H238" s="35">
        <f t="shared" si="176"/>
        <v>288</v>
      </c>
      <c r="I238" s="190">
        <v>0</v>
      </c>
      <c r="J238" s="223">
        <v>30</v>
      </c>
      <c r="K238" s="36">
        <f t="shared" si="177"/>
        <v>0</v>
      </c>
      <c r="L238" s="36">
        <v>0.04</v>
      </c>
      <c r="M238" s="37">
        <f t="shared" si="178"/>
        <v>0.04</v>
      </c>
      <c r="N238" s="39">
        <f t="shared" si="179"/>
        <v>11.52</v>
      </c>
      <c r="O238" s="7"/>
      <c r="P238" s="254">
        <f t="shared" si="166"/>
        <v>0</v>
      </c>
      <c r="Q238" s="255">
        <f t="shared" si="167"/>
        <v>11.52</v>
      </c>
      <c r="R238" s="7"/>
    </row>
    <row r="239" spans="1:18" ht="15.6" x14ac:dyDescent="0.25">
      <c r="A239" s="66">
        <f>IF(G239&lt;&gt;"",1+MAX($A$2:A238),"")</f>
        <v>155</v>
      </c>
      <c r="B239" s="173"/>
      <c r="C239" s="158"/>
      <c r="D239" s="24" t="s">
        <v>103</v>
      </c>
      <c r="E239" s="60" t="s">
        <v>29</v>
      </c>
      <c r="F239" s="35">
        <f>2*(13+90+24+421+30+101+121+13+13+9)</f>
        <v>1670</v>
      </c>
      <c r="G239" s="34">
        <v>0.1</v>
      </c>
      <c r="H239" s="35">
        <f t="shared" ref="H239" si="180">(G239*F239)+F239</f>
        <v>1837</v>
      </c>
      <c r="I239" s="190">
        <v>0.01</v>
      </c>
      <c r="J239" s="223">
        <v>30</v>
      </c>
      <c r="K239" s="36">
        <f t="shared" ref="K239:K306" si="181">I239*J239</f>
        <v>0.3</v>
      </c>
      <c r="L239" s="36">
        <v>0.4</v>
      </c>
      <c r="M239" s="37">
        <f t="shared" ref="M239" si="182">+L239+K239</f>
        <v>0.7</v>
      </c>
      <c r="N239" s="39">
        <f t="shared" ref="N239" si="183">H239*M239</f>
        <v>1285.8999999999999</v>
      </c>
      <c r="O239" s="7"/>
      <c r="P239" s="254">
        <f t="shared" si="166"/>
        <v>551.1</v>
      </c>
      <c r="Q239" s="255">
        <f t="shared" si="167"/>
        <v>734.80000000000007</v>
      </c>
      <c r="R239" s="7"/>
    </row>
    <row r="240" spans="1:18" ht="15.6" x14ac:dyDescent="0.25">
      <c r="A240" s="66" t="str">
        <f>IF(G240&lt;&gt;"",1+MAX($A$2:A239),"")</f>
        <v/>
      </c>
      <c r="B240" s="173"/>
      <c r="C240" s="160"/>
      <c r="D240" s="161"/>
      <c r="E240" s="60"/>
      <c r="F240" s="95"/>
      <c r="G240" s="34"/>
      <c r="H240" s="35"/>
      <c r="I240" s="190"/>
      <c r="J240" s="223"/>
      <c r="K240" s="36"/>
      <c r="L240" s="36"/>
      <c r="M240" s="37"/>
      <c r="N240" s="39"/>
      <c r="O240" s="7"/>
      <c r="P240" s="254">
        <f t="shared" si="166"/>
        <v>0</v>
      </c>
      <c r="Q240" s="255">
        <f t="shared" si="167"/>
        <v>0</v>
      </c>
      <c r="R240" s="7"/>
    </row>
    <row r="241" spans="1:18" ht="62.4" x14ac:dyDescent="0.25">
      <c r="A241" s="66" t="str">
        <f>IF(G241&lt;&gt;"",1+MAX($A$2:A240),"")</f>
        <v/>
      </c>
      <c r="B241" s="173"/>
      <c r="C241" s="160"/>
      <c r="D241" s="162" t="s">
        <v>306</v>
      </c>
      <c r="E241" s="60"/>
      <c r="F241" s="95"/>
      <c r="G241" s="34"/>
      <c r="H241" s="35"/>
      <c r="I241" s="190"/>
      <c r="J241" s="223"/>
      <c r="K241" s="36"/>
      <c r="L241" s="36"/>
      <c r="M241" s="37"/>
      <c r="N241" s="39"/>
      <c r="O241" s="7"/>
      <c r="P241" s="254">
        <f t="shared" si="166"/>
        <v>0</v>
      </c>
      <c r="Q241" s="255">
        <f t="shared" si="167"/>
        <v>0</v>
      </c>
      <c r="R241" s="7"/>
    </row>
    <row r="242" spans="1:18" ht="31.2" x14ac:dyDescent="0.25">
      <c r="A242" s="66" t="str">
        <f>IF(G242&lt;&gt;"",1+MAX($A$2:A241),"")</f>
        <v/>
      </c>
      <c r="B242" s="173"/>
      <c r="C242" s="160"/>
      <c r="D242" s="163" t="s">
        <v>248</v>
      </c>
      <c r="E242" s="33"/>
      <c r="F242" s="95"/>
      <c r="G242" s="34"/>
      <c r="H242" s="35"/>
      <c r="I242" s="190"/>
      <c r="J242" s="223"/>
      <c r="K242" s="36"/>
      <c r="L242" s="36"/>
      <c r="M242" s="37"/>
      <c r="N242" s="39"/>
      <c r="O242" s="7"/>
      <c r="P242" s="254">
        <f t="shared" si="166"/>
        <v>0</v>
      </c>
      <c r="Q242" s="255">
        <f t="shared" si="167"/>
        <v>0</v>
      </c>
      <c r="R242" s="7"/>
    </row>
    <row r="243" spans="1:18" ht="18" customHeight="1" x14ac:dyDescent="0.3">
      <c r="A243" s="66" t="str">
        <f>IF(G243&lt;&gt;"",1+MAX($A$2:A242),"")</f>
        <v/>
      </c>
      <c r="B243" s="171"/>
      <c r="C243" s="172"/>
      <c r="D243" s="56" t="s">
        <v>45</v>
      </c>
      <c r="E243" s="126"/>
      <c r="F243" s="63"/>
      <c r="G243" s="64"/>
      <c r="H243" s="35"/>
      <c r="I243" s="191"/>
      <c r="J243" s="229"/>
      <c r="K243" s="59"/>
      <c r="L243" s="59"/>
      <c r="M243" s="37"/>
      <c r="N243" s="39"/>
      <c r="O243" s="7"/>
      <c r="P243" s="254">
        <f t="shared" si="166"/>
        <v>0</v>
      </c>
      <c r="Q243" s="255">
        <f t="shared" si="167"/>
        <v>0</v>
      </c>
      <c r="R243" s="7"/>
    </row>
    <row r="244" spans="1:18" ht="15.6" customHeight="1" x14ac:dyDescent="0.25">
      <c r="A244" s="66" t="str">
        <f>IF(G244&lt;&gt;"",1+MAX($A$2:A243),"")</f>
        <v/>
      </c>
      <c r="B244" s="173"/>
      <c r="C244" s="158"/>
      <c r="D244" s="145"/>
      <c r="E244" s="69"/>
      <c r="F244" s="35"/>
      <c r="G244" s="34"/>
      <c r="H244" s="35"/>
      <c r="I244" s="188"/>
      <c r="J244" s="228"/>
      <c r="K244" s="36"/>
      <c r="L244" s="36"/>
      <c r="M244" s="37"/>
      <c r="N244" s="39"/>
      <c r="O244" s="7"/>
      <c r="P244" s="254">
        <f t="shared" si="166"/>
        <v>0</v>
      </c>
      <c r="Q244" s="255">
        <f t="shared" si="167"/>
        <v>0</v>
      </c>
      <c r="R244" s="7"/>
    </row>
    <row r="245" spans="1:18" ht="187.2" x14ac:dyDescent="0.25">
      <c r="A245" s="66">
        <f>IF(G245&lt;&gt;"",1+MAX($A$2:A244),"")</f>
        <v>156</v>
      </c>
      <c r="B245" s="173" t="s">
        <v>184</v>
      </c>
      <c r="C245" s="173" t="s">
        <v>320</v>
      </c>
      <c r="D245" s="159" t="s">
        <v>356</v>
      </c>
      <c r="E245" s="33" t="s">
        <v>7</v>
      </c>
      <c r="F245" s="35">
        <v>4341.6899999999996</v>
      </c>
      <c r="G245" s="34">
        <v>0.1</v>
      </c>
      <c r="H245" s="35">
        <f>(G245*F245)+F245</f>
        <v>4775.8589999999995</v>
      </c>
      <c r="I245" s="190">
        <v>6.2E-2</v>
      </c>
      <c r="J245" s="223">
        <v>42</v>
      </c>
      <c r="K245" s="36">
        <f t="shared" ref="K245" si="184">I245*J245</f>
        <v>2.6040000000000001</v>
      </c>
      <c r="L245" s="36">
        <v>2.85</v>
      </c>
      <c r="M245" s="37">
        <f t="shared" ref="M245" si="185">+L245+K245</f>
        <v>5.4540000000000006</v>
      </c>
      <c r="N245" s="39">
        <f t="shared" ref="N245" si="186">H245*M245</f>
        <v>26047.534985999999</v>
      </c>
      <c r="O245" s="7"/>
      <c r="P245" s="254">
        <f t="shared" si="166"/>
        <v>12436.336835999999</v>
      </c>
      <c r="Q245" s="255">
        <f t="shared" si="167"/>
        <v>13611.198149999998</v>
      </c>
      <c r="R245" s="7"/>
    </row>
    <row r="246" spans="1:18" ht="46.8" x14ac:dyDescent="0.25">
      <c r="A246" s="66" t="str">
        <f>IF(G246&lt;&gt;"",1+MAX($A$2:A245),"")</f>
        <v/>
      </c>
      <c r="B246" s="173"/>
      <c r="C246" s="173" t="s">
        <v>320</v>
      </c>
      <c r="D246" s="208" t="s">
        <v>321</v>
      </c>
      <c r="E246" s="33"/>
      <c r="F246" s="35"/>
      <c r="G246" s="34"/>
      <c r="H246" s="35"/>
      <c r="I246" s="190"/>
      <c r="J246" s="223"/>
      <c r="K246" s="36"/>
      <c r="L246" s="36"/>
      <c r="M246" s="37"/>
      <c r="N246" s="39"/>
      <c r="O246" s="7"/>
      <c r="P246" s="254">
        <f t="shared" si="166"/>
        <v>0</v>
      </c>
      <c r="Q246" s="255">
        <f t="shared" si="167"/>
        <v>0</v>
      </c>
      <c r="R246" s="7"/>
    </row>
    <row r="247" spans="1:18" ht="15.6" x14ac:dyDescent="0.25">
      <c r="A247" s="66" t="str">
        <f>IF(G247&lt;&gt;"",1+MAX($A$2:A246),"")</f>
        <v/>
      </c>
      <c r="B247" s="173"/>
      <c r="C247" s="158"/>
      <c r="D247" s="145" t="s">
        <v>97</v>
      </c>
      <c r="E247" s="33"/>
      <c r="F247" s="35"/>
      <c r="G247" s="34"/>
      <c r="H247" s="35"/>
      <c r="I247" s="188"/>
      <c r="J247" s="228"/>
      <c r="K247" s="36"/>
      <c r="L247" s="36"/>
      <c r="M247" s="37"/>
      <c r="N247" s="39"/>
      <c r="O247" s="7"/>
      <c r="P247" s="254">
        <f t="shared" si="166"/>
        <v>0</v>
      </c>
      <c r="Q247" s="255">
        <f t="shared" si="167"/>
        <v>0</v>
      </c>
      <c r="R247" s="7"/>
    </row>
    <row r="248" spans="1:18" ht="109.2" x14ac:dyDescent="0.25">
      <c r="A248" s="66">
        <f>IF(G248&lt;&gt;"",1+MAX($A$2:A247),"")</f>
        <v>157</v>
      </c>
      <c r="B248" s="173" t="s">
        <v>165</v>
      </c>
      <c r="C248" s="158" t="s">
        <v>208</v>
      </c>
      <c r="D248" s="159" t="s">
        <v>107</v>
      </c>
      <c r="E248" s="33" t="s">
        <v>29</v>
      </c>
      <c r="F248" s="35">
        <v>2847</v>
      </c>
      <c r="G248" s="34">
        <v>0.1</v>
      </c>
      <c r="H248" s="35">
        <f>(G248*F248)+F248</f>
        <v>3131.7</v>
      </c>
      <c r="I248" s="190">
        <v>2.5000000000000001E-2</v>
      </c>
      <c r="J248" s="223">
        <v>42</v>
      </c>
      <c r="K248" s="36">
        <f t="shared" ref="K248" si="187">I248*J248</f>
        <v>1.05</v>
      </c>
      <c r="L248" s="36">
        <v>1.85</v>
      </c>
      <c r="M248" s="37">
        <f t="shared" ref="M248" si="188">+L248+K248</f>
        <v>2.9000000000000004</v>
      </c>
      <c r="N248" s="39">
        <f>H248*M248</f>
        <v>9081.93</v>
      </c>
      <c r="O248" s="7"/>
      <c r="P248" s="254">
        <f t="shared" si="166"/>
        <v>3288.2849999999999</v>
      </c>
      <c r="Q248" s="255">
        <f t="shared" si="167"/>
        <v>5793.6449999999995</v>
      </c>
      <c r="R248" s="7"/>
    </row>
    <row r="249" spans="1:18" ht="15.6" x14ac:dyDescent="0.25">
      <c r="A249" s="66">
        <f>IF(G249&lt;&gt;"",1+MAX($A$2:A248),"")</f>
        <v>158</v>
      </c>
      <c r="B249" s="173" t="s">
        <v>165</v>
      </c>
      <c r="C249" s="158" t="s">
        <v>177</v>
      </c>
      <c r="D249" s="162" t="s">
        <v>207</v>
      </c>
      <c r="E249" s="33" t="s">
        <v>29</v>
      </c>
      <c r="F249" s="35">
        <v>984</v>
      </c>
      <c r="G249" s="34">
        <v>0.1</v>
      </c>
      <c r="H249" s="35">
        <f>(G249*F249)+F249</f>
        <v>1082.4000000000001</v>
      </c>
      <c r="I249" s="190">
        <v>2.8000000000000001E-2</v>
      </c>
      <c r="J249" s="223">
        <v>42</v>
      </c>
      <c r="K249" s="36">
        <f t="shared" si="181"/>
        <v>1.1759999999999999</v>
      </c>
      <c r="L249" s="36">
        <v>2.25</v>
      </c>
      <c r="M249" s="37">
        <f t="shared" ref="M249" si="189">+L249+K249</f>
        <v>3.4260000000000002</v>
      </c>
      <c r="N249" s="39">
        <f>H249*M249</f>
        <v>3708.3024000000005</v>
      </c>
      <c r="O249" s="7"/>
      <c r="P249" s="254">
        <f t="shared" si="166"/>
        <v>1272.9023999999999</v>
      </c>
      <c r="Q249" s="255">
        <f t="shared" si="167"/>
        <v>2435.4</v>
      </c>
      <c r="R249" s="7"/>
    </row>
    <row r="250" spans="1:18" ht="46.8" x14ac:dyDescent="0.25">
      <c r="A250" s="66" t="str">
        <f>IF(G250&lt;&gt;"",1+MAX($A$2:A249),"")</f>
        <v/>
      </c>
      <c r="B250" s="173"/>
      <c r="C250" s="160"/>
      <c r="D250" s="163" t="s">
        <v>301</v>
      </c>
      <c r="E250" s="33"/>
      <c r="F250" s="35"/>
      <c r="G250" s="34"/>
      <c r="H250" s="35"/>
      <c r="I250" s="190"/>
      <c r="J250" s="223"/>
      <c r="K250" s="36"/>
      <c r="L250" s="36"/>
      <c r="M250" s="37"/>
      <c r="N250" s="39"/>
      <c r="O250" s="7"/>
      <c r="P250" s="254">
        <f t="shared" si="166"/>
        <v>0</v>
      </c>
      <c r="Q250" s="255">
        <f t="shared" si="167"/>
        <v>0</v>
      </c>
      <c r="R250" s="7"/>
    </row>
    <row r="251" spans="1:18" ht="15.6" x14ac:dyDescent="0.25">
      <c r="A251" s="66" t="str">
        <f>IF(G251&lt;&gt;"",1+MAX($A$2:A250),"")</f>
        <v/>
      </c>
      <c r="B251" s="173"/>
      <c r="C251" s="160"/>
      <c r="D251" s="162"/>
      <c r="E251" s="175"/>
      <c r="F251" s="35"/>
      <c r="G251" s="34"/>
      <c r="H251" s="35"/>
      <c r="I251" s="190"/>
      <c r="J251" s="223"/>
      <c r="K251" s="36"/>
      <c r="L251" s="36"/>
      <c r="M251" s="37"/>
      <c r="N251" s="39"/>
      <c r="O251" s="7"/>
      <c r="P251" s="254">
        <f t="shared" si="166"/>
        <v>0</v>
      </c>
      <c r="Q251" s="255">
        <f t="shared" si="167"/>
        <v>0</v>
      </c>
      <c r="R251" s="7"/>
    </row>
    <row r="252" spans="1:18" ht="18" customHeight="1" x14ac:dyDescent="0.3">
      <c r="A252" s="66" t="str">
        <f>IF(G252&lt;&gt;"",1+MAX($A$2:A251),"")</f>
        <v/>
      </c>
      <c r="B252" s="171"/>
      <c r="C252" s="172"/>
      <c r="D252" s="56" t="s">
        <v>180</v>
      </c>
      <c r="E252" s="126"/>
      <c r="F252" s="63"/>
      <c r="G252" s="64"/>
      <c r="H252" s="35"/>
      <c r="I252" s="191"/>
      <c r="J252" s="229"/>
      <c r="K252" s="59"/>
      <c r="L252" s="59"/>
      <c r="M252" s="37"/>
      <c r="N252" s="39"/>
      <c r="O252" s="7"/>
      <c r="P252" s="254">
        <f t="shared" si="166"/>
        <v>0</v>
      </c>
      <c r="Q252" s="255">
        <f t="shared" si="167"/>
        <v>0</v>
      </c>
      <c r="R252" s="7"/>
    </row>
    <row r="253" spans="1:18" ht="15.6" customHeight="1" x14ac:dyDescent="0.25">
      <c r="A253" s="66" t="str">
        <f>IF(G253&lt;&gt;"",1+MAX($A$2:A252),"")</f>
        <v/>
      </c>
      <c r="B253" s="173"/>
      <c r="C253" s="158"/>
      <c r="D253" s="145" t="s">
        <v>181</v>
      </c>
      <c r="E253" s="69"/>
      <c r="F253" s="35"/>
      <c r="G253" s="34"/>
      <c r="H253" s="35"/>
      <c r="I253" s="188"/>
      <c r="J253" s="228"/>
      <c r="K253" s="36"/>
      <c r="L253" s="36"/>
      <c r="M253" s="37"/>
      <c r="N253" s="39"/>
      <c r="O253" s="7"/>
      <c r="P253" s="254">
        <f t="shared" si="166"/>
        <v>0</v>
      </c>
      <c r="Q253" s="255">
        <f t="shared" si="167"/>
        <v>0</v>
      </c>
      <c r="R253" s="7"/>
    </row>
    <row r="254" spans="1:18" ht="109.2" x14ac:dyDescent="0.25">
      <c r="A254" s="66">
        <f>IF(G254&lt;&gt;"",1+MAX($A$2:A253),"")</f>
        <v>159</v>
      </c>
      <c r="B254" s="173" t="s">
        <v>184</v>
      </c>
      <c r="C254" s="173" t="s">
        <v>188</v>
      </c>
      <c r="D254" s="159" t="s">
        <v>314</v>
      </c>
      <c r="E254" s="33" t="s">
        <v>7</v>
      </c>
      <c r="F254" s="35">
        <v>9807.44</v>
      </c>
      <c r="G254" s="34">
        <v>0.1</v>
      </c>
      <c r="H254" s="35">
        <f>(G254*F254)+F254</f>
        <v>10788.184000000001</v>
      </c>
      <c r="I254" s="190">
        <v>7.1999999999999995E-2</v>
      </c>
      <c r="J254" s="223">
        <v>42</v>
      </c>
      <c r="K254" s="36">
        <f t="shared" ref="K254:K258" si="190">I254*J254</f>
        <v>3.0239999999999996</v>
      </c>
      <c r="L254" s="36">
        <v>4.25</v>
      </c>
      <c r="M254" s="37">
        <f t="shared" ref="M254:M258" si="191">+L254+K254</f>
        <v>7.2739999999999991</v>
      </c>
      <c r="N254" s="39">
        <f t="shared" ref="N254:N258" si="192">H254*M254</f>
        <v>78473.250415999995</v>
      </c>
      <c r="O254" s="7"/>
      <c r="P254" s="254">
        <f t="shared" si="166"/>
        <v>32623.468416</v>
      </c>
      <c r="Q254" s="255">
        <f t="shared" si="167"/>
        <v>45849.782000000007</v>
      </c>
      <c r="R254" s="7"/>
    </row>
    <row r="255" spans="1:18" ht="109.2" x14ac:dyDescent="0.25">
      <c r="A255" s="66">
        <f>IF(G255&lt;&gt;"",1+MAX($A$2:A254),"")</f>
        <v>160</v>
      </c>
      <c r="B255" s="173" t="s">
        <v>184</v>
      </c>
      <c r="C255" s="173" t="s">
        <v>188</v>
      </c>
      <c r="D255" s="159" t="s">
        <v>315</v>
      </c>
      <c r="E255" s="33" t="s">
        <v>7</v>
      </c>
      <c r="F255" s="35">
        <v>7115.52</v>
      </c>
      <c r="G255" s="34">
        <v>0.1</v>
      </c>
      <c r="H255" s="35">
        <f>(G255*F255)+F255</f>
        <v>7827.0720000000001</v>
      </c>
      <c r="I255" s="190">
        <v>7.4999999999999997E-2</v>
      </c>
      <c r="J255" s="223">
        <v>42</v>
      </c>
      <c r="K255" s="36">
        <f t="shared" si="190"/>
        <v>3.15</v>
      </c>
      <c r="L255" s="36">
        <v>4.25</v>
      </c>
      <c r="M255" s="37">
        <f t="shared" si="191"/>
        <v>7.4</v>
      </c>
      <c r="N255" s="39">
        <f t="shared" si="192"/>
        <v>57920.332800000004</v>
      </c>
      <c r="O255" s="7"/>
      <c r="P255" s="254">
        <f t="shared" si="166"/>
        <v>24655.2768</v>
      </c>
      <c r="Q255" s="255">
        <f t="shared" si="167"/>
        <v>33265.055999999997</v>
      </c>
      <c r="R255" s="7"/>
    </row>
    <row r="256" spans="1:18" ht="171.6" x14ac:dyDescent="0.25">
      <c r="A256" s="66">
        <f>IF(G256&lt;&gt;"",1+MAX($A$2:A255),"")</f>
        <v>161</v>
      </c>
      <c r="B256" s="173" t="s">
        <v>184</v>
      </c>
      <c r="C256" s="207" t="s">
        <v>317</v>
      </c>
      <c r="D256" s="159" t="s">
        <v>316</v>
      </c>
      <c r="E256" s="33" t="s">
        <v>27</v>
      </c>
      <c r="F256" s="35">
        <v>1</v>
      </c>
      <c r="G256" s="34">
        <v>0</v>
      </c>
      <c r="H256" s="35">
        <f>(G256*F256)+F256</f>
        <v>1</v>
      </c>
      <c r="I256" s="190">
        <f>3.5</f>
        <v>3.5</v>
      </c>
      <c r="J256" s="223">
        <v>42</v>
      </c>
      <c r="K256" s="36">
        <f t="shared" si="190"/>
        <v>147</v>
      </c>
      <c r="L256" s="36">
        <v>1500</v>
      </c>
      <c r="M256" s="37">
        <f t="shared" si="191"/>
        <v>1647</v>
      </c>
      <c r="N256" s="39">
        <f t="shared" si="192"/>
        <v>1647</v>
      </c>
      <c r="O256" s="7"/>
      <c r="P256" s="254">
        <f t="shared" si="166"/>
        <v>147</v>
      </c>
      <c r="Q256" s="255">
        <f t="shared" si="167"/>
        <v>1500</v>
      </c>
      <c r="R256" s="7"/>
    </row>
    <row r="257" spans="1:18" ht="78" x14ac:dyDescent="0.25">
      <c r="A257" s="66">
        <f>IF(G257&lt;&gt;"",1+MAX($A$2:A256),"")</f>
        <v>162</v>
      </c>
      <c r="B257" s="173" t="s">
        <v>184</v>
      </c>
      <c r="C257" s="173" t="s">
        <v>188</v>
      </c>
      <c r="D257" s="159" t="s">
        <v>318</v>
      </c>
      <c r="E257" s="33" t="s">
        <v>7</v>
      </c>
      <c r="F257" s="35">
        <v>9550.27</v>
      </c>
      <c r="G257" s="34">
        <v>0.1</v>
      </c>
      <c r="H257" s="35">
        <f>(G257*F257)+F257</f>
        <v>10505.297</v>
      </c>
      <c r="I257" s="190">
        <v>7.0000000000000007E-2</v>
      </c>
      <c r="J257" s="223">
        <v>42</v>
      </c>
      <c r="K257" s="36">
        <f t="shared" ref="K257" si="193">I257*J257</f>
        <v>2.9400000000000004</v>
      </c>
      <c r="L257" s="36">
        <v>5.45</v>
      </c>
      <c r="M257" s="37">
        <f t="shared" ref="M257" si="194">+L257+K257</f>
        <v>8.39</v>
      </c>
      <c r="N257" s="39">
        <f t="shared" ref="N257" si="195">H257*M257</f>
        <v>88139.441830000011</v>
      </c>
      <c r="O257" s="7"/>
      <c r="P257" s="254">
        <f t="shared" si="166"/>
        <v>30885.573180000007</v>
      </c>
      <c r="Q257" s="255">
        <f t="shared" si="167"/>
        <v>57253.868650000004</v>
      </c>
      <c r="R257" s="7"/>
    </row>
    <row r="258" spans="1:18" ht="140.4" x14ac:dyDescent="0.25">
      <c r="A258" s="66">
        <f>IF(G258&lt;&gt;"",1+MAX($A$2:A257),"")</f>
        <v>163</v>
      </c>
      <c r="B258" s="173" t="s">
        <v>184</v>
      </c>
      <c r="C258" s="173" t="s">
        <v>188</v>
      </c>
      <c r="D258" s="159" t="s">
        <v>319</v>
      </c>
      <c r="E258" s="33" t="s">
        <v>7</v>
      </c>
      <c r="F258" s="35">
        <v>14979.81</v>
      </c>
      <c r="G258" s="34">
        <v>0.1</v>
      </c>
      <c r="H258" s="35">
        <f>(G258*F258)+F258</f>
        <v>16477.791000000001</v>
      </c>
      <c r="I258" s="190">
        <v>7.0000000000000007E-2</v>
      </c>
      <c r="J258" s="223">
        <v>42</v>
      </c>
      <c r="K258" s="36">
        <f t="shared" si="190"/>
        <v>2.9400000000000004</v>
      </c>
      <c r="L258" s="36">
        <v>3.85</v>
      </c>
      <c r="M258" s="37">
        <f t="shared" si="191"/>
        <v>6.7900000000000009</v>
      </c>
      <c r="N258" s="39">
        <f t="shared" si="192"/>
        <v>111884.20089000002</v>
      </c>
      <c r="O258" s="7"/>
      <c r="P258" s="254">
        <f t="shared" si="166"/>
        <v>48444.70554000001</v>
      </c>
      <c r="Q258" s="255">
        <f t="shared" si="167"/>
        <v>63439.495350000005</v>
      </c>
      <c r="R258" s="7"/>
    </row>
    <row r="259" spans="1:18" ht="15.6" x14ac:dyDescent="0.25">
      <c r="A259" s="66" t="str">
        <f>IF(G259&lt;&gt;"",1+MAX($A$2:A258),"")</f>
        <v/>
      </c>
      <c r="B259" s="173"/>
      <c r="C259" s="158"/>
      <c r="D259" s="145" t="s">
        <v>97</v>
      </c>
      <c r="E259" s="33"/>
      <c r="F259" s="35"/>
      <c r="G259" s="34"/>
      <c r="H259" s="35"/>
      <c r="I259" s="188"/>
      <c r="J259" s="228"/>
      <c r="K259" s="36"/>
      <c r="L259" s="36"/>
      <c r="M259" s="37"/>
      <c r="N259" s="39"/>
      <c r="O259" s="7"/>
      <c r="P259" s="254">
        <f t="shared" si="166"/>
        <v>0</v>
      </c>
      <c r="Q259" s="255">
        <f t="shared" si="167"/>
        <v>0</v>
      </c>
      <c r="R259" s="7"/>
    </row>
    <row r="260" spans="1:18" ht="15.6" x14ac:dyDescent="0.25">
      <c r="A260" s="66">
        <f>IF(G260&lt;&gt;"",1+MAX($A$2:A259),"")</f>
        <v>164</v>
      </c>
      <c r="B260" s="173" t="s">
        <v>109</v>
      </c>
      <c r="C260" s="158" t="s">
        <v>99</v>
      </c>
      <c r="D260" s="24" t="s">
        <v>98</v>
      </c>
      <c r="E260" s="33" t="s">
        <v>29</v>
      </c>
      <c r="F260" s="35">
        <v>4.3</v>
      </c>
      <c r="G260" s="34">
        <v>0.1</v>
      </c>
      <c r="H260" s="35">
        <f>(G260*F260)+F260</f>
        <v>4.7299999999999995</v>
      </c>
      <c r="I260" s="190">
        <v>0.13300000000000001</v>
      </c>
      <c r="J260" s="223">
        <v>42</v>
      </c>
      <c r="K260" s="36">
        <f t="shared" ref="K260" si="196">I260*J260</f>
        <v>5.5860000000000003</v>
      </c>
      <c r="L260" s="36">
        <v>8.5</v>
      </c>
      <c r="M260" s="37">
        <f t="shared" ref="M260" si="197">+L260+K260</f>
        <v>14.086</v>
      </c>
      <c r="N260" s="39">
        <f>H260*M260</f>
        <v>66.626779999999997</v>
      </c>
      <c r="O260" s="7"/>
      <c r="P260" s="254">
        <f t="shared" si="166"/>
        <v>26.421779999999998</v>
      </c>
      <c r="Q260" s="255">
        <f t="shared" si="167"/>
        <v>40.204999999999998</v>
      </c>
      <c r="R260" s="7"/>
    </row>
    <row r="261" spans="1:18" ht="18" customHeight="1" x14ac:dyDescent="0.25">
      <c r="A261" s="66" t="str">
        <f>IF(G261&lt;&gt;"",1+MAX($A$2:A260),"")</f>
        <v/>
      </c>
      <c r="B261" s="173"/>
      <c r="C261" s="158"/>
      <c r="D261" s="24"/>
      <c r="E261" s="33"/>
      <c r="F261" s="35"/>
      <c r="G261" s="34"/>
      <c r="H261" s="35"/>
      <c r="I261" s="190"/>
      <c r="J261" s="223"/>
      <c r="K261" s="36"/>
      <c r="L261" s="36"/>
      <c r="M261" s="37"/>
      <c r="N261" s="39"/>
      <c r="O261" s="7"/>
      <c r="P261" s="254">
        <f t="shared" si="166"/>
        <v>0</v>
      </c>
      <c r="Q261" s="255">
        <f t="shared" si="167"/>
        <v>0</v>
      </c>
      <c r="R261" s="7"/>
    </row>
    <row r="262" spans="1:18" ht="18" customHeight="1" x14ac:dyDescent="0.3">
      <c r="A262" s="66" t="str">
        <f>IF(G262&lt;&gt;"",1+MAX($A$2:A261),"")</f>
        <v/>
      </c>
      <c r="B262" s="171"/>
      <c r="C262" s="174"/>
      <c r="D262" s="56" t="s">
        <v>46</v>
      </c>
      <c r="E262" s="127"/>
      <c r="F262" s="96"/>
      <c r="G262" s="64"/>
      <c r="H262" s="35"/>
      <c r="I262" s="191"/>
      <c r="J262" s="229"/>
      <c r="K262" s="59"/>
      <c r="L262" s="59"/>
      <c r="M262" s="37"/>
      <c r="N262" s="39"/>
      <c r="O262" s="7"/>
      <c r="P262" s="254">
        <f t="shared" si="166"/>
        <v>0</v>
      </c>
      <c r="Q262" s="255">
        <f t="shared" si="167"/>
        <v>0</v>
      </c>
      <c r="R262" s="7"/>
    </row>
    <row r="263" spans="1:18" ht="18" customHeight="1" x14ac:dyDescent="0.25">
      <c r="A263" s="66" t="str">
        <f>IF(G263&lt;&gt;"",1+MAX($A$2:A262),"")</f>
        <v/>
      </c>
      <c r="B263" s="173"/>
      <c r="C263" s="158"/>
      <c r="D263" s="145" t="s">
        <v>166</v>
      </c>
      <c r="E263" s="70"/>
      <c r="F263" s="35"/>
      <c r="G263" s="34"/>
      <c r="H263" s="35"/>
      <c r="I263" s="188"/>
      <c r="J263" s="228"/>
      <c r="K263" s="36"/>
      <c r="L263" s="36"/>
      <c r="M263" s="37"/>
      <c r="N263" s="39"/>
      <c r="O263" s="7"/>
      <c r="P263" s="254">
        <f t="shared" si="166"/>
        <v>0</v>
      </c>
      <c r="Q263" s="255">
        <f t="shared" si="167"/>
        <v>0</v>
      </c>
      <c r="R263" s="7"/>
    </row>
    <row r="264" spans="1:18" ht="46.8" x14ac:dyDescent="0.25">
      <c r="A264" s="66">
        <f>IF(G264&lt;&gt;"",1+MAX($A$2:A263),"")</f>
        <v>165</v>
      </c>
      <c r="B264" s="155" t="s">
        <v>165</v>
      </c>
      <c r="C264" s="158" t="s">
        <v>164</v>
      </c>
      <c r="D264" s="159" t="s">
        <v>393</v>
      </c>
      <c r="E264" s="33" t="s">
        <v>4</v>
      </c>
      <c r="F264" s="35">
        <v>1</v>
      </c>
      <c r="G264" s="34">
        <v>0</v>
      </c>
      <c r="H264" s="27">
        <f t="shared" ref="H264:H265" si="198">(G264*F264)+F264</f>
        <v>1</v>
      </c>
      <c r="I264" s="190">
        <v>0</v>
      </c>
      <c r="J264" s="223">
        <v>0</v>
      </c>
      <c r="K264" s="36">
        <f t="shared" ref="K264:K268" si="199">I264*J264</f>
        <v>0</v>
      </c>
      <c r="L264" s="36">
        <v>0</v>
      </c>
      <c r="M264" s="37">
        <v>500</v>
      </c>
      <c r="N264" s="38">
        <f t="shared" ref="N264:N265" si="200">H264*M264</f>
        <v>500</v>
      </c>
      <c r="P264" s="254">
        <f t="shared" si="166"/>
        <v>0</v>
      </c>
      <c r="Q264" s="255">
        <f t="shared" si="167"/>
        <v>0</v>
      </c>
    </row>
    <row r="265" spans="1:18" ht="156" x14ac:dyDescent="0.25">
      <c r="A265" s="22">
        <f>IF(G265&lt;&gt;"",1+MAX($A$2:A264),"")</f>
        <v>166</v>
      </c>
      <c r="B265" s="155" t="s">
        <v>190</v>
      </c>
      <c r="C265" s="158" t="s">
        <v>312</v>
      </c>
      <c r="D265" s="159" t="s">
        <v>311</v>
      </c>
      <c r="E265" s="33" t="s">
        <v>7</v>
      </c>
      <c r="F265" s="35">
        <f>15*2*4</f>
        <v>120</v>
      </c>
      <c r="G265" s="34">
        <v>0.1</v>
      </c>
      <c r="H265" s="27">
        <f t="shared" si="198"/>
        <v>132</v>
      </c>
      <c r="I265" s="190">
        <v>2.5000000000000001E-2</v>
      </c>
      <c r="J265" s="223">
        <v>30</v>
      </c>
      <c r="K265" s="36">
        <f t="shared" si="199"/>
        <v>0.75</v>
      </c>
      <c r="L265" s="36">
        <v>2.5</v>
      </c>
      <c r="M265" s="37">
        <f t="shared" ref="M265" si="201">K265+L265</f>
        <v>3.25</v>
      </c>
      <c r="N265" s="38">
        <f t="shared" si="200"/>
        <v>429</v>
      </c>
      <c r="P265" s="254">
        <f t="shared" si="166"/>
        <v>99</v>
      </c>
      <c r="Q265" s="255">
        <f t="shared" si="167"/>
        <v>330</v>
      </c>
    </row>
    <row r="266" spans="1:18" ht="140.4" x14ac:dyDescent="0.25">
      <c r="A266" s="106">
        <f>IF(G266&lt;&gt;"",1+MAX($A$2:A265),"")</f>
        <v>167</v>
      </c>
      <c r="B266" s="330" t="s">
        <v>292</v>
      </c>
      <c r="C266" s="333" t="s">
        <v>313</v>
      </c>
      <c r="D266" s="159" t="s">
        <v>307</v>
      </c>
      <c r="E266" s="33" t="s">
        <v>7</v>
      </c>
      <c r="F266" s="35">
        <f>650+281.2</f>
        <v>931.2</v>
      </c>
      <c r="G266" s="34">
        <v>0.1</v>
      </c>
      <c r="H266" s="35">
        <f>(G266*F266)+F266</f>
        <v>1024.3200000000002</v>
      </c>
      <c r="I266" s="190">
        <v>7.0000000000000007E-2</v>
      </c>
      <c r="J266" s="223">
        <v>30</v>
      </c>
      <c r="K266" s="36">
        <f t="shared" si="199"/>
        <v>2.1</v>
      </c>
      <c r="L266" s="36">
        <v>4.25</v>
      </c>
      <c r="M266" s="37">
        <f>+L266+K266</f>
        <v>6.35</v>
      </c>
      <c r="N266" s="39">
        <f>H266*M266</f>
        <v>6504.4320000000007</v>
      </c>
      <c r="P266" s="254">
        <f t="shared" si="166"/>
        <v>2151.0720000000006</v>
      </c>
      <c r="Q266" s="255">
        <f t="shared" si="167"/>
        <v>4353.3600000000006</v>
      </c>
    </row>
    <row r="267" spans="1:18" ht="140.4" x14ac:dyDescent="0.25">
      <c r="A267" s="106">
        <f>IF(G267&lt;&gt;"",1+MAX($A$2:A266),"")</f>
        <v>168</v>
      </c>
      <c r="B267" s="331"/>
      <c r="C267" s="334"/>
      <c r="D267" s="159" t="s">
        <v>308</v>
      </c>
      <c r="E267" s="33" t="s">
        <v>7</v>
      </c>
      <c r="F267" s="35">
        <f>(18+46+88+32+2+8+4+3+15+11+6+7+18+29+1+5+2+1+1+12+4+166+4+54+1+6+2+2+6+2+3+1+9+1+4+1+2+8+3+3+7+2+2+5+11+10+5+11+6+27+28+24+17+32+55+10+19+10+3+4+4+4+23+1+10+8+9+34+16+28+1+26+5+6+19+9+36+19+2+39+3+2+3+14+10+2+10+1+2+48+1+4+11+12+19)*4</f>
        <v>5280</v>
      </c>
      <c r="G267" s="34">
        <v>0.1</v>
      </c>
      <c r="H267" s="35">
        <f>(G267*F267)+F267</f>
        <v>5808</v>
      </c>
      <c r="I267" s="190">
        <v>7.0000000000000007E-2</v>
      </c>
      <c r="J267" s="223">
        <v>30</v>
      </c>
      <c r="K267" s="36">
        <f>I267*J267</f>
        <v>2.1</v>
      </c>
      <c r="L267" s="36">
        <v>4.25</v>
      </c>
      <c r="M267" s="37">
        <f>+L267+K267</f>
        <v>6.35</v>
      </c>
      <c r="N267" s="39">
        <f>H267*M267</f>
        <v>36880.799999999996</v>
      </c>
      <c r="P267" s="254">
        <f t="shared" si="166"/>
        <v>12196.800000000001</v>
      </c>
      <c r="Q267" s="255">
        <f t="shared" si="167"/>
        <v>24684</v>
      </c>
    </row>
    <row r="268" spans="1:18" ht="140.4" x14ac:dyDescent="0.25">
      <c r="A268" s="106">
        <f>IF(G268&lt;&gt;"",1+MAX($A$2:A267),"")</f>
        <v>169</v>
      </c>
      <c r="B268" s="331"/>
      <c r="C268" s="334"/>
      <c r="D268" s="159" t="s">
        <v>309</v>
      </c>
      <c r="E268" s="33" t="s">
        <v>7</v>
      </c>
      <c r="F268" s="35">
        <v>220</v>
      </c>
      <c r="G268" s="34">
        <v>0.1</v>
      </c>
      <c r="H268" s="35">
        <f>(G268*F268)+F268</f>
        <v>242</v>
      </c>
      <c r="I268" s="190">
        <v>6.5000000000000002E-2</v>
      </c>
      <c r="J268" s="223">
        <v>30</v>
      </c>
      <c r="K268" s="36">
        <f t="shared" si="199"/>
        <v>1.9500000000000002</v>
      </c>
      <c r="L268" s="36">
        <v>3.85</v>
      </c>
      <c r="M268" s="37">
        <f>+L268+K268</f>
        <v>5.8000000000000007</v>
      </c>
      <c r="N268" s="39">
        <f>H268*M268</f>
        <v>1403.6000000000001</v>
      </c>
      <c r="P268" s="254">
        <f t="shared" si="166"/>
        <v>471.90000000000003</v>
      </c>
      <c r="Q268" s="255">
        <f t="shared" si="167"/>
        <v>931.7</v>
      </c>
    </row>
    <row r="269" spans="1:18" ht="140.4" x14ac:dyDescent="0.25">
      <c r="A269" s="106">
        <f>IF(G269&lt;&gt;"",1+MAX($A$2:A268),"")</f>
        <v>170</v>
      </c>
      <c r="B269" s="332"/>
      <c r="C269" s="335"/>
      <c r="D269" s="159" t="s">
        <v>310</v>
      </c>
      <c r="E269" s="33" t="s">
        <v>7</v>
      </c>
      <c r="F269" s="35">
        <f>35*8</f>
        <v>280</v>
      </c>
      <c r="G269" s="34">
        <v>0.1</v>
      </c>
      <c r="H269" s="35">
        <f>(G269*F269)+F269</f>
        <v>308</v>
      </c>
      <c r="I269" s="190">
        <v>6.5000000000000002E-2</v>
      </c>
      <c r="J269" s="223">
        <v>30</v>
      </c>
      <c r="K269" s="36">
        <f t="shared" ref="K269" si="202">I269*J269</f>
        <v>1.9500000000000002</v>
      </c>
      <c r="L269" s="36">
        <v>3.85</v>
      </c>
      <c r="M269" s="37">
        <f>+L269+K269</f>
        <v>5.8000000000000007</v>
      </c>
      <c r="N269" s="39">
        <f>H269*M269</f>
        <v>1786.4000000000003</v>
      </c>
      <c r="P269" s="254">
        <f t="shared" si="166"/>
        <v>600.6</v>
      </c>
      <c r="Q269" s="255">
        <f t="shared" si="167"/>
        <v>1185.8</v>
      </c>
    </row>
    <row r="270" spans="1:18" ht="18" customHeight="1" x14ac:dyDescent="0.25">
      <c r="A270" s="106" t="str">
        <f>IF(G270&lt;&gt;"",1+MAX($A$2:A269),"")</f>
        <v/>
      </c>
      <c r="B270" s="167"/>
      <c r="C270" s="154"/>
      <c r="D270" s="145" t="s">
        <v>62</v>
      </c>
      <c r="E270" s="70"/>
      <c r="F270" s="35"/>
      <c r="G270" s="34"/>
      <c r="H270" s="35"/>
      <c r="I270" s="188"/>
      <c r="J270" s="228"/>
      <c r="K270" s="36"/>
      <c r="L270" s="36"/>
      <c r="M270" s="37"/>
      <c r="N270" s="39"/>
      <c r="P270" s="254">
        <f t="shared" si="166"/>
        <v>0</v>
      </c>
      <c r="Q270" s="255">
        <f t="shared" si="167"/>
        <v>0</v>
      </c>
    </row>
    <row r="271" spans="1:18" ht="15.6" customHeight="1" x14ac:dyDescent="0.25">
      <c r="A271" s="106" t="str">
        <f>IF(G271&lt;&gt;"",1+MAX($A$2:A270),"")</f>
        <v/>
      </c>
      <c r="B271" s="330" t="s">
        <v>213</v>
      </c>
      <c r="C271" s="330" t="s">
        <v>236</v>
      </c>
      <c r="D271" s="189" t="s">
        <v>237</v>
      </c>
      <c r="E271" s="33" t="s">
        <v>7</v>
      </c>
      <c r="F271" s="35">
        <v>550</v>
      </c>
      <c r="G271" s="34"/>
      <c r="H271" s="35"/>
      <c r="I271" s="190"/>
      <c r="J271" s="223"/>
      <c r="K271" s="36"/>
      <c r="L271" s="36"/>
      <c r="M271" s="37"/>
      <c r="N271" s="39"/>
      <c r="P271" s="254">
        <f t="shared" si="166"/>
        <v>0</v>
      </c>
      <c r="Q271" s="255">
        <f t="shared" si="167"/>
        <v>0</v>
      </c>
    </row>
    <row r="272" spans="1:18" ht="15.6" customHeight="1" x14ac:dyDescent="0.25">
      <c r="A272" s="106">
        <f>IF(G272&lt;&gt;"",1+MAX($A$2:A271),"")</f>
        <v>171</v>
      </c>
      <c r="B272" s="331"/>
      <c r="C272" s="331"/>
      <c r="D272" s="186" t="s">
        <v>226</v>
      </c>
      <c r="E272" s="33" t="s">
        <v>27</v>
      </c>
      <c r="F272" s="35">
        <f>ROUNDUP(F271*1.1/32,)</f>
        <v>19</v>
      </c>
      <c r="G272" s="34">
        <v>0</v>
      </c>
      <c r="H272" s="35">
        <f t="shared" ref="H272:H275" si="203">(G272*F272)+F272</f>
        <v>19</v>
      </c>
      <c r="I272" s="190">
        <v>0.32</v>
      </c>
      <c r="J272" s="223">
        <v>30</v>
      </c>
      <c r="K272" s="36">
        <f t="shared" ref="K272:K275" si="204">I272*J272</f>
        <v>9.6</v>
      </c>
      <c r="L272" s="36">
        <v>17.5</v>
      </c>
      <c r="M272" s="37">
        <f t="shared" ref="M272:M275" si="205">+L272+K272</f>
        <v>27.1</v>
      </c>
      <c r="N272" s="39">
        <f t="shared" ref="N272:N275" si="206">H272*M272</f>
        <v>514.9</v>
      </c>
      <c r="P272" s="254">
        <f t="shared" si="166"/>
        <v>182.4</v>
      </c>
      <c r="Q272" s="255">
        <f t="shared" si="167"/>
        <v>332.5</v>
      </c>
    </row>
    <row r="273" spans="1:18" ht="15.6" customHeight="1" x14ac:dyDescent="0.25">
      <c r="A273" s="106">
        <f>IF(G273&lt;&gt;"",1+MAX($A$2:A272),"")</f>
        <v>172</v>
      </c>
      <c r="B273" s="331"/>
      <c r="C273" s="331"/>
      <c r="D273" s="187" t="s">
        <v>238</v>
      </c>
      <c r="E273" s="33" t="s">
        <v>29</v>
      </c>
      <c r="F273" s="35">
        <f>F271*16/32</f>
        <v>275</v>
      </c>
      <c r="G273" s="34">
        <v>0.1</v>
      </c>
      <c r="H273" s="35">
        <f t="shared" si="203"/>
        <v>302.5</v>
      </c>
      <c r="I273" s="190">
        <v>8.0000000000000002E-3</v>
      </c>
      <c r="J273" s="223">
        <v>30</v>
      </c>
      <c r="K273" s="36">
        <f t="shared" si="204"/>
        <v>0.24</v>
      </c>
      <c r="L273" s="36">
        <v>0.05</v>
      </c>
      <c r="M273" s="37">
        <f t="shared" si="205"/>
        <v>0.28999999999999998</v>
      </c>
      <c r="N273" s="39">
        <f t="shared" si="206"/>
        <v>87.724999999999994</v>
      </c>
      <c r="P273" s="254">
        <f t="shared" si="166"/>
        <v>72.599999999999994</v>
      </c>
      <c r="Q273" s="255">
        <f t="shared" si="167"/>
        <v>15.125</v>
      </c>
    </row>
    <row r="274" spans="1:18" ht="15.6" customHeight="1" x14ac:dyDescent="0.25">
      <c r="A274" s="106">
        <f>IF(G274&lt;&gt;"",1+MAX($A$2:A273),"")</f>
        <v>173</v>
      </c>
      <c r="B274" s="331"/>
      <c r="C274" s="331"/>
      <c r="D274" s="187" t="s">
        <v>239</v>
      </c>
      <c r="E274" s="33" t="s">
        <v>35</v>
      </c>
      <c r="F274" s="35">
        <f>F271*0.052</f>
        <v>28.599999999999998</v>
      </c>
      <c r="G274" s="34">
        <v>0.1</v>
      </c>
      <c r="H274" s="35">
        <f t="shared" si="203"/>
        <v>31.459999999999997</v>
      </c>
      <c r="I274" s="190">
        <v>0.1</v>
      </c>
      <c r="J274" s="223">
        <v>30</v>
      </c>
      <c r="K274" s="36">
        <f t="shared" si="204"/>
        <v>3</v>
      </c>
      <c r="L274" s="36">
        <v>0.62</v>
      </c>
      <c r="M274" s="37">
        <f t="shared" si="205"/>
        <v>3.62</v>
      </c>
      <c r="N274" s="39">
        <f t="shared" si="206"/>
        <v>113.8852</v>
      </c>
      <c r="P274" s="254">
        <f t="shared" si="166"/>
        <v>94.38</v>
      </c>
      <c r="Q274" s="255">
        <f t="shared" si="167"/>
        <v>19.505199999999999</v>
      </c>
    </row>
    <row r="275" spans="1:18" ht="15.6" customHeight="1" x14ac:dyDescent="0.25">
      <c r="A275" s="106">
        <f>IF(G275&lt;&gt;"",1+MAX($A$2:A274),"")</f>
        <v>174</v>
      </c>
      <c r="B275" s="332"/>
      <c r="C275" s="332"/>
      <c r="D275" s="187" t="s">
        <v>69</v>
      </c>
      <c r="E275" s="33" t="s">
        <v>27</v>
      </c>
      <c r="F275" s="35">
        <f>ROUNDUP(F271*1.1*48/32,)</f>
        <v>908</v>
      </c>
      <c r="G275" s="34">
        <v>0</v>
      </c>
      <c r="H275" s="35">
        <f t="shared" si="203"/>
        <v>908</v>
      </c>
      <c r="I275" s="190">
        <v>0</v>
      </c>
      <c r="J275" s="223">
        <v>30</v>
      </c>
      <c r="K275" s="36">
        <f t="shared" si="204"/>
        <v>0</v>
      </c>
      <c r="L275" s="36">
        <v>0.04</v>
      </c>
      <c r="M275" s="37">
        <f t="shared" si="205"/>
        <v>0.04</v>
      </c>
      <c r="N275" s="39">
        <f t="shared" si="206"/>
        <v>36.32</v>
      </c>
      <c r="P275" s="254">
        <f t="shared" si="166"/>
        <v>0</v>
      </c>
      <c r="Q275" s="255">
        <f t="shared" si="167"/>
        <v>36.32</v>
      </c>
    </row>
    <row r="276" spans="1:18" ht="15.6" x14ac:dyDescent="0.25">
      <c r="A276" s="66" t="str">
        <f>IF(G276&lt;&gt;"",1+MAX($A$2:A275),"")</f>
        <v/>
      </c>
      <c r="B276" s="155"/>
      <c r="C276" s="158"/>
      <c r="D276" s="159"/>
      <c r="E276" s="33"/>
      <c r="F276" s="35"/>
      <c r="G276" s="34"/>
      <c r="H276" s="27"/>
      <c r="I276" s="190"/>
      <c r="J276" s="223"/>
      <c r="K276" s="36"/>
      <c r="L276" s="36"/>
      <c r="M276" s="37"/>
      <c r="N276" s="38"/>
      <c r="P276" s="254">
        <f t="shared" si="166"/>
        <v>0</v>
      </c>
      <c r="Q276" s="255">
        <f t="shared" si="167"/>
        <v>0</v>
      </c>
    </row>
    <row r="277" spans="1:18" ht="18" customHeight="1" x14ac:dyDescent="0.3">
      <c r="A277" s="66" t="str">
        <f>IF(G277&lt;&gt;"",1+MAX($A$2:A276),"")</f>
        <v/>
      </c>
      <c r="B277" s="171"/>
      <c r="C277" s="174"/>
      <c r="D277" s="56" t="s">
        <v>131</v>
      </c>
      <c r="E277" s="124"/>
      <c r="F277" s="96"/>
      <c r="G277" s="64"/>
      <c r="H277" s="35"/>
      <c r="I277" s="191"/>
      <c r="J277" s="229"/>
      <c r="K277" s="59"/>
      <c r="L277" s="59"/>
      <c r="M277" s="37"/>
      <c r="N277" s="39"/>
      <c r="O277" s="7"/>
      <c r="P277" s="254">
        <f t="shared" si="166"/>
        <v>0</v>
      </c>
      <c r="Q277" s="255">
        <f t="shared" si="167"/>
        <v>0</v>
      </c>
      <c r="R277" s="7"/>
    </row>
    <row r="278" spans="1:18" ht="15.6" customHeight="1" x14ac:dyDescent="0.25">
      <c r="A278" s="66" t="str">
        <f>IF(G278&lt;&gt;"",1+MAX($A$2:A277),"")</f>
        <v/>
      </c>
      <c r="B278" s="173"/>
      <c r="C278" s="158"/>
      <c r="D278" s="145" t="s">
        <v>326</v>
      </c>
      <c r="E278" s="87"/>
      <c r="F278" s="35"/>
      <c r="G278" s="34"/>
      <c r="H278" s="35"/>
      <c r="I278" s="188"/>
      <c r="J278" s="228"/>
      <c r="K278" s="36"/>
      <c r="L278" s="36"/>
      <c r="M278" s="37"/>
      <c r="N278" s="39"/>
      <c r="O278" s="7"/>
      <c r="P278" s="254">
        <f t="shared" si="166"/>
        <v>0</v>
      </c>
      <c r="Q278" s="255">
        <f t="shared" si="167"/>
        <v>0</v>
      </c>
      <c r="R278" s="7"/>
    </row>
    <row r="279" spans="1:18" ht="46.8" x14ac:dyDescent="0.25">
      <c r="A279" s="66">
        <f>IF(G279&lt;&gt;"",1+MAX($A$2:A278),"")</f>
        <v>175</v>
      </c>
      <c r="B279" s="173" t="s">
        <v>109</v>
      </c>
      <c r="C279" s="158" t="s">
        <v>81</v>
      </c>
      <c r="D279" s="159" t="s">
        <v>369</v>
      </c>
      <c r="E279" s="33" t="s">
        <v>7</v>
      </c>
      <c r="F279" s="35">
        <f>10*(125.7+6.3+69.2+13.2+1334.8+90.3+23.9+73.1+6.2+32.5+76.9+181.3+14.1)</f>
        <v>20474.999999999996</v>
      </c>
      <c r="G279" s="34">
        <v>0.1</v>
      </c>
      <c r="H279" s="35">
        <f>(G279*F279)+F279</f>
        <v>22522.499999999996</v>
      </c>
      <c r="I279" s="190">
        <v>2.5000000000000001E-2</v>
      </c>
      <c r="J279" s="223">
        <v>35</v>
      </c>
      <c r="K279" s="36">
        <f t="shared" si="181"/>
        <v>0.875</v>
      </c>
      <c r="L279" s="36">
        <v>0.57999999999999996</v>
      </c>
      <c r="M279" s="37">
        <f t="shared" ref="M279" si="207">+L279+K279</f>
        <v>1.4550000000000001</v>
      </c>
      <c r="N279" s="39">
        <f>H279*M279</f>
        <v>32770.237499999996</v>
      </c>
      <c r="O279" s="7"/>
      <c r="P279" s="254">
        <f t="shared" si="166"/>
        <v>19707.187499999996</v>
      </c>
      <c r="Q279" s="255">
        <f t="shared" si="167"/>
        <v>13063.049999999997</v>
      </c>
      <c r="R279" s="7"/>
    </row>
    <row r="280" spans="1:18" ht="46.8" x14ac:dyDescent="0.25">
      <c r="A280" s="66">
        <f>IF(G280&lt;&gt;"",1+MAX($A$2:A279),"")</f>
        <v>176</v>
      </c>
      <c r="B280" s="173" t="s">
        <v>109</v>
      </c>
      <c r="C280" s="158" t="s">
        <v>81</v>
      </c>
      <c r="D280" s="159" t="s">
        <v>370</v>
      </c>
      <c r="E280" s="33" t="s">
        <v>7</v>
      </c>
      <c r="F280" s="35">
        <f>10*(76.87)</f>
        <v>768.7</v>
      </c>
      <c r="G280" s="34">
        <v>0.1</v>
      </c>
      <c r="H280" s="35">
        <f>(G280*F280)+F280</f>
        <v>845.57</v>
      </c>
      <c r="I280" s="190">
        <v>2.5000000000000001E-2</v>
      </c>
      <c r="J280" s="223">
        <v>35</v>
      </c>
      <c r="K280" s="36">
        <f t="shared" si="181"/>
        <v>0.875</v>
      </c>
      <c r="L280" s="36">
        <v>0.57999999999999996</v>
      </c>
      <c r="M280" s="37">
        <f>+L280+K280</f>
        <v>1.4550000000000001</v>
      </c>
      <c r="N280" s="39">
        <f>H280*M280</f>
        <v>1230.3043500000001</v>
      </c>
      <c r="O280" s="7"/>
      <c r="P280" s="254">
        <f t="shared" si="166"/>
        <v>739.87375000000009</v>
      </c>
      <c r="Q280" s="255">
        <f t="shared" si="167"/>
        <v>490.43059999999997</v>
      </c>
      <c r="R280" s="7"/>
    </row>
    <row r="281" spans="1:18" ht="46.8" x14ac:dyDescent="0.25">
      <c r="A281" s="66">
        <f>IF(G281&lt;&gt;"",1+MAX($A$2:A280),"")</f>
        <v>177</v>
      </c>
      <c r="B281" s="173" t="s">
        <v>109</v>
      </c>
      <c r="C281" s="158" t="s">
        <v>81</v>
      </c>
      <c r="D281" s="159" t="s">
        <v>371</v>
      </c>
      <c r="E281" s="33" t="s">
        <v>7</v>
      </c>
      <c r="F281" s="35">
        <f>10*(279+1546)</f>
        <v>18250</v>
      </c>
      <c r="G281" s="34">
        <v>0.1</v>
      </c>
      <c r="H281" s="35">
        <f>(G281*F281)+F281</f>
        <v>20075</v>
      </c>
      <c r="I281" s="190">
        <v>2.5000000000000001E-2</v>
      </c>
      <c r="J281" s="223">
        <v>35</v>
      </c>
      <c r="K281" s="36">
        <f t="shared" ref="K281:K283" si="208">I281*J281</f>
        <v>0.875</v>
      </c>
      <c r="L281" s="36">
        <v>0.57999999999999996</v>
      </c>
      <c r="M281" s="37">
        <f t="shared" ref="M281:M283" si="209">+L281+K281</f>
        <v>1.4550000000000001</v>
      </c>
      <c r="N281" s="39">
        <f>H281*M281</f>
        <v>29209.125</v>
      </c>
      <c r="O281" s="7"/>
      <c r="P281" s="254">
        <f t="shared" si="166"/>
        <v>17565.625</v>
      </c>
      <c r="Q281" s="255">
        <f t="shared" si="167"/>
        <v>11643.5</v>
      </c>
      <c r="R281" s="7"/>
    </row>
    <row r="282" spans="1:18" ht="46.8" x14ac:dyDescent="0.25">
      <c r="A282" s="66">
        <f>IF(G282&lt;&gt;"",1+MAX($A$2:A281),"")</f>
        <v>178</v>
      </c>
      <c r="B282" s="173" t="s">
        <v>109</v>
      </c>
      <c r="C282" s="158" t="s">
        <v>81</v>
      </c>
      <c r="D282" s="159" t="s">
        <v>372</v>
      </c>
      <c r="E282" s="33" t="s">
        <v>7</v>
      </c>
      <c r="F282" s="35">
        <f>(32.45*10)</f>
        <v>324.5</v>
      </c>
      <c r="G282" s="34">
        <v>0.1</v>
      </c>
      <c r="H282" s="35">
        <f>(G282*F282)+F282</f>
        <v>356.95</v>
      </c>
      <c r="I282" s="190">
        <v>2.5000000000000001E-2</v>
      </c>
      <c r="J282" s="223">
        <v>35</v>
      </c>
      <c r="K282" s="36">
        <f t="shared" si="208"/>
        <v>0.875</v>
      </c>
      <c r="L282" s="36">
        <v>0.57999999999999996</v>
      </c>
      <c r="M282" s="37">
        <f t="shared" si="209"/>
        <v>1.4550000000000001</v>
      </c>
      <c r="N282" s="39">
        <f>H282*M282</f>
        <v>519.36225000000002</v>
      </c>
      <c r="O282" s="7"/>
      <c r="P282" s="254">
        <f t="shared" si="166"/>
        <v>312.33125000000001</v>
      </c>
      <c r="Q282" s="255">
        <f t="shared" si="167"/>
        <v>207.03099999999998</v>
      </c>
      <c r="R282" s="7"/>
    </row>
    <row r="283" spans="1:18" ht="46.8" x14ac:dyDescent="0.25">
      <c r="A283" s="66">
        <f>IF(G283&lt;&gt;"",1+MAX($A$2:A282),"")</f>
        <v>179</v>
      </c>
      <c r="B283" s="173" t="s">
        <v>109</v>
      </c>
      <c r="C283" s="158" t="s">
        <v>81</v>
      </c>
      <c r="D283" s="159" t="s">
        <v>373</v>
      </c>
      <c r="E283" s="33" t="s">
        <v>7</v>
      </c>
      <c r="F283" s="35">
        <f>14*10</f>
        <v>140</v>
      </c>
      <c r="G283" s="34">
        <v>0.1</v>
      </c>
      <c r="H283" s="35">
        <f>(G283*F283)+F283</f>
        <v>154</v>
      </c>
      <c r="I283" s="190">
        <v>2.5000000000000001E-2</v>
      </c>
      <c r="J283" s="223">
        <v>35</v>
      </c>
      <c r="K283" s="36">
        <f t="shared" si="208"/>
        <v>0.875</v>
      </c>
      <c r="L283" s="36">
        <v>0.57999999999999996</v>
      </c>
      <c r="M283" s="37">
        <f t="shared" si="209"/>
        <v>1.4550000000000001</v>
      </c>
      <c r="N283" s="39">
        <f>H283*M283</f>
        <v>224.07000000000002</v>
      </c>
      <c r="O283" s="7"/>
      <c r="P283" s="254">
        <f t="shared" si="166"/>
        <v>134.75</v>
      </c>
      <c r="Q283" s="255">
        <f t="shared" si="167"/>
        <v>89.32</v>
      </c>
      <c r="R283" s="7"/>
    </row>
    <row r="284" spans="1:18" ht="46.8" x14ac:dyDescent="0.25">
      <c r="A284" s="66" t="str">
        <f>IF(G284&lt;&gt;"",1+MAX($A$2:A283),"")</f>
        <v/>
      </c>
      <c r="B284" s="173"/>
      <c r="C284" s="158"/>
      <c r="D284" s="159" t="s">
        <v>330</v>
      </c>
      <c r="E284" s="58"/>
      <c r="F284" s="35"/>
      <c r="G284" s="34"/>
      <c r="H284" s="35"/>
      <c r="I284" s="190"/>
      <c r="J284" s="223"/>
      <c r="K284" s="36"/>
      <c r="L284" s="36"/>
      <c r="M284" s="37"/>
      <c r="N284" s="39"/>
      <c r="O284" s="7"/>
      <c r="P284" s="254">
        <f t="shared" si="166"/>
        <v>0</v>
      </c>
      <c r="Q284" s="255">
        <f t="shared" si="167"/>
        <v>0</v>
      </c>
      <c r="R284" s="7"/>
    </row>
    <row r="285" spans="1:18" ht="31.2" x14ac:dyDescent="0.25">
      <c r="A285" s="66" t="str">
        <f>IF(G285&lt;&gt;"",1+MAX($A$2:A284),"")</f>
        <v/>
      </c>
      <c r="B285" s="173"/>
      <c r="C285" s="158" t="s">
        <v>210</v>
      </c>
      <c r="D285" s="166" t="s">
        <v>209</v>
      </c>
      <c r="E285" s="58"/>
      <c r="F285" s="35"/>
      <c r="G285" s="34"/>
      <c r="H285" s="35"/>
      <c r="I285" s="190"/>
      <c r="J285" s="223"/>
      <c r="K285" s="36"/>
      <c r="L285" s="36"/>
      <c r="M285" s="37"/>
      <c r="N285" s="39"/>
      <c r="O285" s="7"/>
      <c r="P285" s="254">
        <f t="shared" si="166"/>
        <v>0</v>
      </c>
      <c r="Q285" s="255">
        <f t="shared" si="167"/>
        <v>0</v>
      </c>
      <c r="R285" s="7"/>
    </row>
    <row r="286" spans="1:18" ht="15.6" customHeight="1" x14ac:dyDescent="0.25">
      <c r="A286" s="66" t="str">
        <f>IF(G286&lt;&gt;"",1+MAX($A$2:A285),"")</f>
        <v/>
      </c>
      <c r="B286" s="173"/>
      <c r="C286" s="158"/>
      <c r="D286" s="145" t="s">
        <v>327</v>
      </c>
      <c r="E286" s="87"/>
      <c r="F286" s="35"/>
      <c r="G286" s="34"/>
      <c r="H286" s="35"/>
      <c r="I286" s="188"/>
      <c r="J286" s="228"/>
      <c r="K286" s="36"/>
      <c r="L286" s="36"/>
      <c r="M286" s="37"/>
      <c r="N286" s="39"/>
      <c r="O286" s="7"/>
      <c r="P286" s="254">
        <f t="shared" ref="P286:P329" si="210">K286*H286</f>
        <v>0</v>
      </c>
      <c r="Q286" s="255">
        <f t="shared" ref="Q286:Q329" si="211">L286*H286</f>
        <v>0</v>
      </c>
      <c r="R286" s="7"/>
    </row>
    <row r="287" spans="1:18" ht="109.2" x14ac:dyDescent="0.25">
      <c r="A287" s="66">
        <f>IF(G287&lt;&gt;"",1+MAX($A$2:A286),"")</f>
        <v>180</v>
      </c>
      <c r="B287" s="173" t="s">
        <v>109</v>
      </c>
      <c r="C287" s="158" t="s">
        <v>81</v>
      </c>
      <c r="D287" s="159" t="s">
        <v>374</v>
      </c>
      <c r="E287" s="33" t="s">
        <v>7</v>
      </c>
      <c r="F287" s="35">
        <f>10*281</f>
        <v>2810</v>
      </c>
      <c r="G287" s="34">
        <v>0.1</v>
      </c>
      <c r="H287" s="35">
        <f>(G287*F287)+F287</f>
        <v>3091</v>
      </c>
      <c r="I287" s="190">
        <v>2.5000000000000001E-2</v>
      </c>
      <c r="J287" s="223">
        <v>35</v>
      </c>
      <c r="K287" s="36">
        <f t="shared" ref="K287" si="212">I287*J287</f>
        <v>0.875</v>
      </c>
      <c r="L287" s="36">
        <v>0.57999999999999996</v>
      </c>
      <c r="M287" s="37">
        <f t="shared" ref="M287" si="213">+L287+K287</f>
        <v>1.4550000000000001</v>
      </c>
      <c r="N287" s="39">
        <f>H287*M287</f>
        <v>4497.4050000000007</v>
      </c>
      <c r="O287" s="7"/>
      <c r="P287" s="254">
        <f t="shared" si="210"/>
        <v>2704.625</v>
      </c>
      <c r="Q287" s="255">
        <f t="shared" si="211"/>
        <v>1792.78</v>
      </c>
      <c r="R287" s="7"/>
    </row>
    <row r="288" spans="1:18" ht="15.6" customHeight="1" x14ac:dyDescent="0.25">
      <c r="A288" s="66" t="str">
        <f>IF(G288&lt;&gt;"",1+MAX($A$2:A287),"")</f>
        <v/>
      </c>
      <c r="B288" s="173"/>
      <c r="C288" s="158"/>
      <c r="D288" s="145" t="s">
        <v>132</v>
      </c>
      <c r="E288" s="87"/>
      <c r="F288" s="35"/>
      <c r="G288" s="34"/>
      <c r="H288" s="35"/>
      <c r="I288" s="188"/>
      <c r="J288" s="228"/>
      <c r="K288" s="36"/>
      <c r="L288" s="36"/>
      <c r="M288" s="37"/>
      <c r="N288" s="39"/>
      <c r="O288" s="7"/>
      <c r="P288" s="254">
        <f t="shared" si="210"/>
        <v>0</v>
      </c>
      <c r="Q288" s="255">
        <f t="shared" si="211"/>
        <v>0</v>
      </c>
      <c r="R288" s="7"/>
    </row>
    <row r="289" spans="1:18" ht="46.8" x14ac:dyDescent="0.25">
      <c r="A289" s="66">
        <f>IF(G289&lt;&gt;"",1+MAX($A$2:A288),"")</f>
        <v>181</v>
      </c>
      <c r="B289" s="173" t="s">
        <v>109</v>
      </c>
      <c r="C289" s="158" t="s">
        <v>133</v>
      </c>
      <c r="D289" s="159" t="s">
        <v>375</v>
      </c>
      <c r="E289" s="33" t="s">
        <v>7</v>
      </c>
      <c r="F289" s="35">
        <f>2*((3*2.5*6.667)+(96*3*6.667)+(3*3.33*6.667)+(5*6*6.667))</f>
        <v>4473.4236600000004</v>
      </c>
      <c r="G289" s="34">
        <v>0.1</v>
      </c>
      <c r="H289" s="35">
        <f>(G289*F289)+F289</f>
        <v>4920.7660260000002</v>
      </c>
      <c r="I289" s="190">
        <v>2.8000000000000001E-2</v>
      </c>
      <c r="J289" s="223">
        <v>35</v>
      </c>
      <c r="K289" s="36">
        <f t="shared" si="181"/>
        <v>0.98</v>
      </c>
      <c r="L289" s="36">
        <v>0.85</v>
      </c>
      <c r="M289" s="37">
        <f t="shared" ref="M289:M291" si="214">+L289+K289</f>
        <v>1.83</v>
      </c>
      <c r="N289" s="39">
        <f>H289*M289</f>
        <v>9005.0018275800012</v>
      </c>
      <c r="O289" s="7"/>
      <c r="P289" s="254">
        <f t="shared" si="210"/>
        <v>4822.3507054800002</v>
      </c>
      <c r="Q289" s="255">
        <f t="shared" si="211"/>
        <v>4182.6511221000001</v>
      </c>
      <c r="R289" s="7"/>
    </row>
    <row r="290" spans="1:18" ht="46.8" x14ac:dyDescent="0.25">
      <c r="A290" s="66">
        <f>IF(G290&lt;&gt;"",1+MAX($A$2:A289),"")</f>
        <v>182</v>
      </c>
      <c r="B290" s="173" t="s">
        <v>109</v>
      </c>
      <c r="C290" s="158" t="s">
        <v>133</v>
      </c>
      <c r="D290" s="159" t="s">
        <v>376</v>
      </c>
      <c r="E290" s="33" t="s">
        <v>29</v>
      </c>
      <c r="F290" s="35">
        <f>1*((3*(2.5+6.667+6.667))+(96*(3+6.667+6.667))+(3*(3.33+6.667+6.667))+(5*(6+6.667+6.667)))+40</f>
        <v>1802.2279999999998</v>
      </c>
      <c r="G290" s="34">
        <v>0.1</v>
      </c>
      <c r="H290" s="35">
        <f>(G290*F290)+F290</f>
        <v>1982.4507999999998</v>
      </c>
      <c r="I290" s="190">
        <v>1.6E-2</v>
      </c>
      <c r="J290" s="223">
        <v>35</v>
      </c>
      <c r="K290" s="36">
        <f t="shared" si="181"/>
        <v>0.56000000000000005</v>
      </c>
      <c r="L290" s="36">
        <v>0.35</v>
      </c>
      <c r="M290" s="37">
        <f t="shared" si="214"/>
        <v>0.91</v>
      </c>
      <c r="N290" s="39">
        <f>H290*M290</f>
        <v>1804.0302279999999</v>
      </c>
      <c r="O290" s="7"/>
      <c r="P290" s="254">
        <f t="shared" si="210"/>
        <v>1110.172448</v>
      </c>
      <c r="Q290" s="255">
        <f t="shared" si="211"/>
        <v>693.85777999999993</v>
      </c>
      <c r="R290" s="7"/>
    </row>
    <row r="291" spans="1:18" ht="46.8" x14ac:dyDescent="0.25">
      <c r="A291" s="66">
        <f>IF(G291&lt;&gt;"",1+MAX($A$2:A290),"")</f>
        <v>183</v>
      </c>
      <c r="B291" s="173" t="s">
        <v>109</v>
      </c>
      <c r="C291" s="158" t="s">
        <v>133</v>
      </c>
      <c r="D291" s="159" t="s">
        <v>377</v>
      </c>
      <c r="E291" s="33" t="s">
        <v>29</v>
      </c>
      <c r="F291" s="35">
        <f>2*((3*(2.5+6.667+6.667))+(96*(3+6.667+6.667))+(3*(3.33+6.667+6.667))+(5*(6+6.667+6.667)))</f>
        <v>3524.4559999999997</v>
      </c>
      <c r="G291" s="34">
        <v>0.1</v>
      </c>
      <c r="H291" s="35">
        <f>(G291*F291)+F291</f>
        <v>3876.9015999999997</v>
      </c>
      <c r="I291" s="190">
        <v>1.6E-2</v>
      </c>
      <c r="J291" s="223">
        <v>35</v>
      </c>
      <c r="K291" s="36">
        <f t="shared" si="181"/>
        <v>0.56000000000000005</v>
      </c>
      <c r="L291" s="36">
        <v>0.35</v>
      </c>
      <c r="M291" s="37">
        <f t="shared" si="214"/>
        <v>0.91</v>
      </c>
      <c r="N291" s="39">
        <f>H291*M291</f>
        <v>3527.9804559999998</v>
      </c>
      <c r="O291" s="7"/>
      <c r="P291" s="254">
        <f t="shared" si="210"/>
        <v>2171.0648959999999</v>
      </c>
      <c r="Q291" s="255">
        <f t="shared" si="211"/>
        <v>1356.9155599999999</v>
      </c>
      <c r="R291" s="7"/>
    </row>
    <row r="292" spans="1:18" ht="93.6" x14ac:dyDescent="0.25">
      <c r="A292" s="66" t="str">
        <f>IF(G292&lt;&gt;"",1+MAX($A$2:A291),"")</f>
        <v/>
      </c>
      <c r="B292" s="173"/>
      <c r="C292" s="158"/>
      <c r="D292" s="159" t="s">
        <v>329</v>
      </c>
      <c r="E292" s="58"/>
      <c r="F292" s="35"/>
      <c r="G292" s="34"/>
      <c r="H292" s="35"/>
      <c r="I292" s="190"/>
      <c r="J292" s="223"/>
      <c r="K292" s="36"/>
      <c r="L292" s="36"/>
      <c r="M292" s="37"/>
      <c r="N292" s="39"/>
      <c r="O292" s="7"/>
      <c r="P292" s="254">
        <f t="shared" si="210"/>
        <v>0</v>
      </c>
      <c r="Q292" s="255">
        <f t="shared" si="211"/>
        <v>0</v>
      </c>
      <c r="R292" s="7"/>
    </row>
    <row r="293" spans="1:18" ht="15.6" customHeight="1" x14ac:dyDescent="0.25">
      <c r="A293" s="66" t="str">
        <f>IF(G293&lt;&gt;"",1+MAX($A$2:A292),"")</f>
        <v/>
      </c>
      <c r="B293" s="173"/>
      <c r="C293" s="158"/>
      <c r="D293" s="145" t="s">
        <v>201</v>
      </c>
      <c r="E293" s="87"/>
      <c r="F293" s="35"/>
      <c r="G293" s="34"/>
      <c r="H293" s="35"/>
      <c r="I293" s="188"/>
      <c r="J293" s="228"/>
      <c r="K293" s="36"/>
      <c r="L293" s="36"/>
      <c r="M293" s="37"/>
      <c r="N293" s="39"/>
      <c r="O293" s="7"/>
      <c r="P293" s="254">
        <f t="shared" si="210"/>
        <v>0</v>
      </c>
      <c r="Q293" s="255">
        <f t="shared" si="211"/>
        <v>0</v>
      </c>
      <c r="R293" s="7"/>
    </row>
    <row r="294" spans="1:18" ht="93.6" x14ac:dyDescent="0.25">
      <c r="A294" s="66">
        <f>IF(G294&lt;&gt;"",1+MAX($A$2:A293),"")</f>
        <v>184</v>
      </c>
      <c r="B294" s="173" t="s">
        <v>109</v>
      </c>
      <c r="C294" s="158" t="s">
        <v>197</v>
      </c>
      <c r="D294" s="159" t="s">
        <v>378</v>
      </c>
      <c r="E294" s="33" t="s">
        <v>7</v>
      </c>
      <c r="F294" s="35">
        <v>46</v>
      </c>
      <c r="G294" s="34">
        <v>0.1</v>
      </c>
      <c r="H294" s="35">
        <f>(G294*F294)+F294</f>
        <v>50.6</v>
      </c>
      <c r="I294" s="190">
        <v>2.5000000000000001E-2</v>
      </c>
      <c r="J294" s="223">
        <v>35</v>
      </c>
      <c r="K294" s="36">
        <f t="shared" ref="K294" si="215">I294*J294</f>
        <v>0.875</v>
      </c>
      <c r="L294" s="36">
        <v>0.57999999999999996</v>
      </c>
      <c r="M294" s="37">
        <f t="shared" ref="M294" si="216">+L294+K294</f>
        <v>1.4550000000000001</v>
      </c>
      <c r="N294" s="39">
        <f>H294*M294</f>
        <v>73.623000000000005</v>
      </c>
      <c r="O294" s="7"/>
      <c r="P294" s="254">
        <f t="shared" si="210"/>
        <v>44.274999999999999</v>
      </c>
      <c r="Q294" s="255">
        <f t="shared" si="211"/>
        <v>29.347999999999999</v>
      </c>
      <c r="R294" s="7"/>
    </row>
    <row r="295" spans="1:18" ht="15.6" customHeight="1" x14ac:dyDescent="0.25">
      <c r="A295" s="66" t="str">
        <f>IF(G295&lt;&gt;"",1+MAX($A$2:A294),"")</f>
        <v/>
      </c>
      <c r="B295" s="173"/>
      <c r="C295" s="158"/>
      <c r="D295" s="145" t="s">
        <v>142</v>
      </c>
      <c r="E295" s="87"/>
      <c r="F295" s="35"/>
      <c r="G295" s="34"/>
      <c r="H295" s="35"/>
      <c r="I295" s="188"/>
      <c r="J295" s="228"/>
      <c r="K295" s="36"/>
      <c r="L295" s="36"/>
      <c r="M295" s="37"/>
      <c r="N295" s="39"/>
      <c r="O295" s="7"/>
      <c r="P295" s="254">
        <f t="shared" si="210"/>
        <v>0</v>
      </c>
      <c r="Q295" s="255">
        <f t="shared" si="211"/>
        <v>0</v>
      </c>
      <c r="R295" s="7"/>
    </row>
    <row r="296" spans="1:18" ht="93.6" x14ac:dyDescent="0.25">
      <c r="A296" s="66">
        <f>IF(G296&lt;&gt;"",1+MAX($A$2:A295),"")</f>
        <v>185</v>
      </c>
      <c r="B296" s="155" t="s">
        <v>109</v>
      </c>
      <c r="C296" s="158" t="s">
        <v>141</v>
      </c>
      <c r="D296" s="159" t="s">
        <v>328</v>
      </c>
      <c r="E296" s="33" t="s">
        <v>29</v>
      </c>
      <c r="F296" s="35">
        <f>1.1*14</f>
        <v>15.400000000000002</v>
      </c>
      <c r="G296" s="34">
        <v>0.1</v>
      </c>
      <c r="H296" s="35">
        <f>(G296*F296)+F296</f>
        <v>16.940000000000001</v>
      </c>
      <c r="I296" s="190">
        <v>1.7000000000000001E-2</v>
      </c>
      <c r="J296" s="223">
        <v>35</v>
      </c>
      <c r="K296" s="36">
        <f t="shared" ref="K296:K299" si="217">I296*J296</f>
        <v>0.59500000000000008</v>
      </c>
      <c r="L296" s="36">
        <v>0.38</v>
      </c>
      <c r="M296" s="37">
        <f t="shared" ref="M296" si="218">+L296+K296</f>
        <v>0.97500000000000009</v>
      </c>
      <c r="N296" s="39">
        <f>H296*M296</f>
        <v>16.516500000000004</v>
      </c>
      <c r="O296" s="7"/>
      <c r="P296" s="254">
        <f t="shared" si="210"/>
        <v>10.079300000000002</v>
      </c>
      <c r="Q296" s="255">
        <f t="shared" si="211"/>
        <v>6.4372000000000007</v>
      </c>
      <c r="R296" s="7"/>
    </row>
    <row r="297" spans="1:18" ht="15.6" x14ac:dyDescent="0.25">
      <c r="A297" s="106">
        <f>IF(G297&lt;&gt;"",1+MAX($A$2:A296),"")</f>
        <v>186</v>
      </c>
      <c r="B297" s="167" t="s">
        <v>213</v>
      </c>
      <c r="C297" s="154" t="s">
        <v>228</v>
      </c>
      <c r="D297" s="159" t="s">
        <v>324</v>
      </c>
      <c r="E297" s="33" t="s">
        <v>29</v>
      </c>
      <c r="F297" s="35">
        <v>105</v>
      </c>
      <c r="G297" s="34">
        <v>0.1</v>
      </c>
      <c r="H297" s="35">
        <f>(G297*F297)+F297</f>
        <v>115.5</v>
      </c>
      <c r="I297" s="190">
        <v>1.7999999999999999E-2</v>
      </c>
      <c r="J297" s="223">
        <v>35</v>
      </c>
      <c r="K297" s="36">
        <f t="shared" si="217"/>
        <v>0.63</v>
      </c>
      <c r="L297" s="36">
        <v>0.4</v>
      </c>
      <c r="M297" s="37">
        <f>+L297+K297</f>
        <v>1.03</v>
      </c>
      <c r="N297" s="39">
        <f>H297*M297</f>
        <v>118.965</v>
      </c>
      <c r="P297" s="254">
        <f t="shared" si="210"/>
        <v>72.765000000000001</v>
      </c>
      <c r="Q297" s="255">
        <f t="shared" si="211"/>
        <v>46.2</v>
      </c>
    </row>
    <row r="298" spans="1:18" ht="171.6" x14ac:dyDescent="0.25">
      <c r="A298" s="66">
        <f>IF(G298&lt;&gt;"",1+MAX($A$2:A297),"")</f>
        <v>187</v>
      </c>
      <c r="B298" s="173" t="s">
        <v>109</v>
      </c>
      <c r="C298" s="158" t="s">
        <v>285</v>
      </c>
      <c r="D298" s="159" t="s">
        <v>325</v>
      </c>
      <c r="E298" s="33" t="s">
        <v>7</v>
      </c>
      <c r="F298" s="35">
        <f>666+123*0.5</f>
        <v>727.5</v>
      </c>
      <c r="G298" s="34">
        <v>0.1</v>
      </c>
      <c r="H298" s="35">
        <f>(G298*F298)+F298</f>
        <v>800.25</v>
      </c>
      <c r="I298" s="190">
        <v>0.03</v>
      </c>
      <c r="J298" s="223">
        <v>35</v>
      </c>
      <c r="K298" s="36">
        <f t="shared" si="217"/>
        <v>1.05</v>
      </c>
      <c r="L298" s="36">
        <v>0.8</v>
      </c>
      <c r="M298" s="37">
        <f t="shared" ref="M298:M299" si="219">+L298+K298</f>
        <v>1.85</v>
      </c>
      <c r="N298" s="39">
        <f>H298*M298</f>
        <v>1480.4625000000001</v>
      </c>
      <c r="O298" s="7"/>
      <c r="P298" s="254">
        <f t="shared" si="210"/>
        <v>840.26250000000005</v>
      </c>
      <c r="Q298" s="255">
        <f t="shared" si="211"/>
        <v>640.20000000000005</v>
      </c>
      <c r="R298" s="7"/>
    </row>
    <row r="299" spans="1:18" ht="46.8" x14ac:dyDescent="0.25">
      <c r="A299" s="66">
        <f>IF(G299&lt;&gt;"",1+MAX($A$2:A298),"")</f>
        <v>188</v>
      </c>
      <c r="B299" s="173" t="s">
        <v>109</v>
      </c>
      <c r="C299" s="158" t="s">
        <v>133</v>
      </c>
      <c r="D299" s="159" t="s">
        <v>305</v>
      </c>
      <c r="E299" s="33" t="s">
        <v>29</v>
      </c>
      <c r="F299" s="35">
        <f>6*24</f>
        <v>144</v>
      </c>
      <c r="G299" s="34">
        <v>0.1</v>
      </c>
      <c r="H299" s="35">
        <f>(G299*F299)+F299</f>
        <v>158.4</v>
      </c>
      <c r="I299" s="190">
        <v>1.7000000000000001E-2</v>
      </c>
      <c r="J299" s="223">
        <v>35</v>
      </c>
      <c r="K299" s="36">
        <f t="shared" si="217"/>
        <v>0.59500000000000008</v>
      </c>
      <c r="L299" s="36">
        <v>0.35</v>
      </c>
      <c r="M299" s="37">
        <f t="shared" si="219"/>
        <v>0.94500000000000006</v>
      </c>
      <c r="N299" s="39">
        <f>H299*M299</f>
        <v>149.68800000000002</v>
      </c>
      <c r="O299" s="7"/>
      <c r="P299" s="254">
        <f t="shared" si="210"/>
        <v>94.248000000000019</v>
      </c>
      <c r="Q299" s="255">
        <f t="shared" si="211"/>
        <v>55.44</v>
      </c>
      <c r="R299" s="7"/>
    </row>
    <row r="300" spans="1:18" ht="15.6" customHeight="1" x14ac:dyDescent="0.25">
      <c r="A300" s="66" t="str">
        <f>IF(G300&lt;&gt;"",1+MAX($A$2:A299),"")</f>
        <v/>
      </c>
      <c r="B300" s="173"/>
      <c r="C300" s="158"/>
      <c r="D300" s="145" t="s">
        <v>379</v>
      </c>
      <c r="E300" s="87"/>
      <c r="F300" s="35"/>
      <c r="G300" s="34"/>
      <c r="H300" s="35"/>
      <c r="I300" s="188"/>
      <c r="J300" s="228"/>
      <c r="K300" s="36"/>
      <c r="L300" s="36"/>
      <c r="M300" s="37"/>
      <c r="N300" s="39"/>
      <c r="O300" s="7"/>
      <c r="P300" s="254">
        <f t="shared" si="210"/>
        <v>0</v>
      </c>
      <c r="Q300" s="255">
        <f t="shared" si="211"/>
        <v>0</v>
      </c>
      <c r="R300" s="7"/>
    </row>
    <row r="301" spans="1:18" ht="15.6" x14ac:dyDescent="0.25">
      <c r="A301" s="66">
        <f>IF(G301&lt;&gt;"",1+MAX($A$2:A300),"")</f>
        <v>189</v>
      </c>
      <c r="B301" s="155" t="s">
        <v>109</v>
      </c>
      <c r="C301" s="158" t="s">
        <v>135</v>
      </c>
      <c r="D301" s="24" t="s">
        <v>134</v>
      </c>
      <c r="E301" s="33" t="s">
        <v>7</v>
      </c>
      <c r="F301" s="35">
        <f>281*10</f>
        <v>2810</v>
      </c>
      <c r="G301" s="34">
        <v>0.1</v>
      </c>
      <c r="H301" s="35">
        <f>(G301*F301)+F301</f>
        <v>3091</v>
      </c>
      <c r="I301" s="190">
        <v>0.02</v>
      </c>
      <c r="J301" s="223">
        <v>35</v>
      </c>
      <c r="K301" s="36">
        <f t="shared" ref="K301" si="220">I301*J301</f>
        <v>0.70000000000000007</v>
      </c>
      <c r="L301" s="36">
        <v>0.38</v>
      </c>
      <c r="M301" s="37">
        <f t="shared" ref="M301" si="221">+L301+K301</f>
        <v>1.08</v>
      </c>
      <c r="N301" s="39">
        <f>H301*M301</f>
        <v>3338.28</v>
      </c>
      <c r="O301" s="7"/>
      <c r="P301" s="254">
        <f t="shared" si="210"/>
        <v>2163.7000000000003</v>
      </c>
      <c r="Q301" s="255">
        <f t="shared" si="211"/>
        <v>1174.58</v>
      </c>
      <c r="R301" s="7"/>
    </row>
    <row r="302" spans="1:18" ht="15.6" x14ac:dyDescent="0.25">
      <c r="A302" s="66" t="str">
        <f>IF(G302&lt;&gt;"",1+MAX($A$2:A301),"")</f>
        <v/>
      </c>
      <c r="B302" s="173"/>
      <c r="C302" s="158"/>
      <c r="D302" s="24"/>
      <c r="E302" s="33"/>
      <c r="F302" s="35"/>
      <c r="G302" s="34"/>
      <c r="H302" s="35"/>
      <c r="I302" s="190"/>
      <c r="J302" s="223"/>
      <c r="K302" s="36"/>
      <c r="L302" s="36"/>
      <c r="M302" s="37"/>
      <c r="N302" s="39"/>
      <c r="O302" s="7"/>
      <c r="P302" s="254">
        <f t="shared" si="210"/>
        <v>0</v>
      </c>
      <c r="Q302" s="255">
        <f t="shared" si="211"/>
        <v>0</v>
      </c>
      <c r="R302" s="7"/>
    </row>
    <row r="303" spans="1:18" ht="18" customHeight="1" x14ac:dyDescent="0.3">
      <c r="A303" s="66" t="str">
        <f>IF(G303&lt;&gt;"",1+MAX($A$2:A302),"")</f>
        <v/>
      </c>
      <c r="B303" s="171"/>
      <c r="C303" s="174"/>
      <c r="D303" s="56" t="s">
        <v>126</v>
      </c>
      <c r="E303" s="124"/>
      <c r="F303" s="96"/>
      <c r="G303" s="64"/>
      <c r="H303" s="35"/>
      <c r="I303" s="191"/>
      <c r="J303" s="229"/>
      <c r="K303" s="59"/>
      <c r="L303" s="59"/>
      <c r="M303" s="37"/>
      <c r="N303" s="39"/>
      <c r="O303" s="7"/>
      <c r="P303" s="254">
        <f t="shared" si="210"/>
        <v>0</v>
      </c>
      <c r="Q303" s="255">
        <f t="shared" si="211"/>
        <v>0</v>
      </c>
      <c r="R303" s="7"/>
    </row>
    <row r="304" spans="1:18" ht="15.6" customHeight="1" x14ac:dyDescent="0.25">
      <c r="A304" s="66" t="str">
        <f>IF(G304&lt;&gt;"",1+MAX($A$2:A303),"")</f>
        <v/>
      </c>
      <c r="B304" s="173"/>
      <c r="C304" s="158"/>
      <c r="D304" s="145" t="s">
        <v>127</v>
      </c>
      <c r="E304" s="87"/>
      <c r="F304" s="35"/>
      <c r="G304" s="34"/>
      <c r="H304" s="35"/>
      <c r="I304" s="188"/>
      <c r="J304" s="228"/>
      <c r="K304" s="36"/>
      <c r="L304" s="36"/>
      <c r="M304" s="37"/>
      <c r="N304" s="39"/>
      <c r="O304" s="7"/>
      <c r="P304" s="254">
        <f t="shared" si="210"/>
        <v>0</v>
      </c>
      <c r="Q304" s="255">
        <f t="shared" si="211"/>
        <v>0</v>
      </c>
      <c r="R304" s="7"/>
    </row>
    <row r="305" spans="1:18" ht="31.2" x14ac:dyDescent="0.25">
      <c r="A305" s="66">
        <f>IF(G305&lt;&gt;"",1+MAX($A$2:A304),"")</f>
        <v>190</v>
      </c>
      <c r="B305" s="155" t="s">
        <v>109</v>
      </c>
      <c r="C305" s="158" t="s">
        <v>125</v>
      </c>
      <c r="D305" s="159" t="s">
        <v>136</v>
      </c>
      <c r="E305" s="60" t="s">
        <v>7</v>
      </c>
      <c r="F305" s="35">
        <f>35.39*10</f>
        <v>353.9</v>
      </c>
      <c r="G305" s="34">
        <v>0.1</v>
      </c>
      <c r="H305" s="27">
        <f t="shared" ref="H305" si="222">(G305*F305)+F305</f>
        <v>389.28999999999996</v>
      </c>
      <c r="I305" s="190">
        <v>2.1999999999999999E-2</v>
      </c>
      <c r="J305" s="223">
        <v>32.5</v>
      </c>
      <c r="K305" s="36">
        <f t="shared" ref="K305" si="223">I305*J305</f>
        <v>0.71499999999999997</v>
      </c>
      <c r="L305" s="36">
        <v>11.5</v>
      </c>
      <c r="M305" s="37">
        <f t="shared" ref="M305" si="224">K305+L305</f>
        <v>12.215</v>
      </c>
      <c r="N305" s="38">
        <f t="shared" ref="N305" si="225">H305*M305</f>
        <v>4755.1773499999999</v>
      </c>
      <c r="P305" s="254">
        <f t="shared" si="210"/>
        <v>278.34234999999995</v>
      </c>
      <c r="Q305" s="255">
        <f t="shared" si="211"/>
        <v>4476.8349999999991</v>
      </c>
    </row>
    <row r="306" spans="1:18" ht="140.4" x14ac:dyDescent="0.25">
      <c r="A306" s="66">
        <f>IF(G306&lt;&gt;"",1+MAX($A$2:A305),"")</f>
        <v>191</v>
      </c>
      <c r="B306" s="155" t="s">
        <v>109</v>
      </c>
      <c r="C306" s="158" t="s">
        <v>137</v>
      </c>
      <c r="D306" s="159" t="s">
        <v>322</v>
      </c>
      <c r="E306" s="60" t="s">
        <v>7</v>
      </c>
      <c r="F306" s="35">
        <f>150*10</f>
        <v>1500</v>
      </c>
      <c r="G306" s="34">
        <v>0.1</v>
      </c>
      <c r="H306" s="35">
        <f>(G306*F306)+F306</f>
        <v>1650</v>
      </c>
      <c r="I306" s="190">
        <v>1.2999999999999999E-2</v>
      </c>
      <c r="J306" s="223">
        <v>32.5</v>
      </c>
      <c r="K306" s="36">
        <f t="shared" si="181"/>
        <v>0.42249999999999999</v>
      </c>
      <c r="L306" s="36">
        <v>1.65</v>
      </c>
      <c r="M306" s="37">
        <f t="shared" ref="M306" si="226">+L306+K306</f>
        <v>2.0724999999999998</v>
      </c>
      <c r="N306" s="39">
        <f>H306*M306</f>
        <v>3419.6249999999995</v>
      </c>
      <c r="O306" s="7"/>
      <c r="P306" s="254">
        <f t="shared" si="210"/>
        <v>697.125</v>
      </c>
      <c r="Q306" s="255">
        <f t="shared" si="211"/>
        <v>2722.5</v>
      </c>
      <c r="R306" s="7"/>
    </row>
    <row r="307" spans="1:18" ht="15.6" x14ac:dyDescent="0.25">
      <c r="A307" s="66" t="str">
        <f>IF(G307&lt;&gt;"",1+MAX($A$2:A306),"")</f>
        <v/>
      </c>
      <c r="B307" s="173"/>
      <c r="C307" s="158"/>
      <c r="D307" s="24"/>
      <c r="E307" s="33"/>
      <c r="F307" s="35"/>
      <c r="G307" s="34"/>
      <c r="H307" s="35"/>
      <c r="I307" s="190"/>
      <c r="J307" s="223"/>
      <c r="K307" s="36"/>
      <c r="L307" s="36"/>
      <c r="M307" s="37"/>
      <c r="N307" s="39"/>
      <c r="O307" s="7"/>
      <c r="P307" s="254">
        <f t="shared" si="210"/>
        <v>0</v>
      </c>
      <c r="Q307" s="255">
        <f t="shared" si="211"/>
        <v>0</v>
      </c>
      <c r="R307" s="7"/>
    </row>
    <row r="308" spans="1:18" s="1" customFormat="1" ht="31.2" x14ac:dyDescent="0.25">
      <c r="A308" s="40" t="str">
        <f>IF(G308&lt;&gt;"",1+MAX($A$2:A307),"")</f>
        <v/>
      </c>
      <c r="B308" s="41"/>
      <c r="C308" s="41"/>
      <c r="D308" s="41"/>
      <c r="E308" s="41"/>
      <c r="F308" s="41"/>
      <c r="G308" s="41"/>
      <c r="H308" s="41"/>
      <c r="I308" s="245"/>
      <c r="J308" s="224"/>
      <c r="K308" s="42"/>
      <c r="L308" s="42"/>
      <c r="M308" s="43" t="s">
        <v>19</v>
      </c>
      <c r="N308" s="44">
        <f>SUM(N199:N307)</f>
        <v>539198.04561318015</v>
      </c>
      <c r="O308" s="7"/>
      <c r="P308" s="254">
        <f t="shared" si="210"/>
        <v>0</v>
      </c>
      <c r="Q308" s="255">
        <f t="shared" si="211"/>
        <v>0</v>
      </c>
      <c r="R308" s="7"/>
    </row>
    <row r="309" spans="1:18" s="1" customFormat="1" ht="15.6" x14ac:dyDescent="0.25">
      <c r="A309" s="97" t="str">
        <f>IF(G309&lt;&gt;"",1+MAX($A$2:A308),"")</f>
        <v/>
      </c>
      <c r="B309" s="98"/>
      <c r="C309" s="98"/>
      <c r="D309" s="99"/>
      <c r="E309" s="100"/>
      <c r="F309" s="101"/>
      <c r="G309" s="98"/>
      <c r="H309" s="98"/>
      <c r="I309" s="102"/>
      <c r="J309" s="233"/>
      <c r="K309" s="103"/>
      <c r="L309" s="103"/>
      <c r="M309" s="104"/>
      <c r="N309" s="105"/>
      <c r="O309" s="7"/>
      <c r="P309" s="254">
        <f t="shared" si="210"/>
        <v>0</v>
      </c>
      <c r="Q309" s="255">
        <f t="shared" si="211"/>
        <v>0</v>
      </c>
      <c r="R309" s="7"/>
    </row>
    <row r="310" spans="1:18" s="1" customFormat="1" ht="17.399999999999999" x14ac:dyDescent="0.25">
      <c r="A310" s="48" t="str">
        <f>IF(G310&lt;&gt;"",1+MAX($A$2:A309),"")</f>
        <v/>
      </c>
      <c r="B310" s="49"/>
      <c r="C310" s="49"/>
      <c r="D310" s="50"/>
      <c r="E310" s="51" t="s">
        <v>49</v>
      </c>
      <c r="F310" s="52"/>
      <c r="G310" s="52"/>
      <c r="H310" s="52"/>
      <c r="I310" s="244"/>
      <c r="J310" s="222"/>
      <c r="K310" s="52"/>
      <c r="L310" s="52"/>
      <c r="M310" s="53"/>
      <c r="N310" s="54"/>
      <c r="O310" s="7"/>
      <c r="P310" s="254">
        <f t="shared" si="210"/>
        <v>0</v>
      </c>
      <c r="Q310" s="255">
        <f t="shared" si="211"/>
        <v>0</v>
      </c>
      <c r="R310" s="7"/>
    </row>
    <row r="311" spans="1:18" ht="18" customHeight="1" x14ac:dyDescent="0.3">
      <c r="A311" s="85" t="str">
        <f>IF(G311&lt;&gt;"",1+MAX($A$2:A310),"")</f>
        <v/>
      </c>
      <c r="B311" s="171"/>
      <c r="C311" s="172"/>
      <c r="D311" s="56" t="s">
        <v>139</v>
      </c>
      <c r="E311" s="123"/>
      <c r="F311" s="63"/>
      <c r="G311" s="64"/>
      <c r="H311" s="35"/>
      <c r="I311" s="65"/>
      <c r="J311" s="226"/>
      <c r="K311" s="59"/>
      <c r="L311" s="59"/>
      <c r="M311" s="37"/>
      <c r="N311" s="39"/>
      <c r="O311" s="7"/>
      <c r="P311" s="254">
        <f t="shared" si="210"/>
        <v>0</v>
      </c>
      <c r="Q311" s="255">
        <f t="shared" si="211"/>
        <v>0</v>
      </c>
      <c r="R311" s="7"/>
    </row>
    <row r="312" spans="1:18" ht="15.6" customHeight="1" x14ac:dyDescent="0.25">
      <c r="A312" s="66" t="str">
        <f>IF(G312&lt;&gt;"",1+MAX($A$2:A311),"")</f>
        <v/>
      </c>
      <c r="B312" s="173"/>
      <c r="C312" s="158"/>
      <c r="D312" s="145" t="s">
        <v>140</v>
      </c>
      <c r="E312" s="87"/>
      <c r="F312" s="35"/>
      <c r="G312" s="34"/>
      <c r="H312" s="35"/>
      <c r="I312" s="188"/>
      <c r="J312" s="228"/>
      <c r="K312" s="36"/>
      <c r="L312" s="36"/>
      <c r="M312" s="37"/>
      <c r="N312" s="39"/>
      <c r="O312" s="7"/>
      <c r="P312" s="254">
        <f t="shared" si="210"/>
        <v>0</v>
      </c>
      <c r="Q312" s="255">
        <f t="shared" si="211"/>
        <v>0</v>
      </c>
      <c r="R312" s="7"/>
    </row>
    <row r="313" spans="1:18" ht="31.2" x14ac:dyDescent="0.25">
      <c r="A313" s="66">
        <f>IF(G313&lt;&gt;"",1+MAX($A$2:A312),"")</f>
        <v>192</v>
      </c>
      <c r="B313" s="173" t="s">
        <v>109</v>
      </c>
      <c r="C313" s="176" t="s">
        <v>138</v>
      </c>
      <c r="D313" s="159" t="s">
        <v>380</v>
      </c>
      <c r="E313" s="33" t="s">
        <v>27</v>
      </c>
      <c r="F313" s="35">
        <v>24</v>
      </c>
      <c r="G313" s="34">
        <v>0</v>
      </c>
      <c r="H313" s="35">
        <f t="shared" ref="H313" si="227">(G313*F313)+F313</f>
        <v>24</v>
      </c>
      <c r="I313" s="190">
        <v>0.75</v>
      </c>
      <c r="J313" s="223">
        <v>32.5</v>
      </c>
      <c r="K313" s="36">
        <f t="shared" ref="K313" si="228">I313*J313</f>
        <v>24.375</v>
      </c>
      <c r="L313" s="36">
        <v>28.5</v>
      </c>
      <c r="M313" s="37">
        <f t="shared" ref="M313" si="229">+L313+K313</f>
        <v>52.875</v>
      </c>
      <c r="N313" s="39">
        <f t="shared" ref="N313" si="230">H313*M313</f>
        <v>1269</v>
      </c>
      <c r="O313" s="7"/>
      <c r="P313" s="254">
        <f t="shared" si="210"/>
        <v>585</v>
      </c>
      <c r="Q313" s="255">
        <f t="shared" si="211"/>
        <v>684</v>
      </c>
      <c r="R313" s="7"/>
    </row>
    <row r="314" spans="1:18" ht="18" customHeight="1" x14ac:dyDescent="0.3">
      <c r="A314" s="85" t="str">
        <f>IF(G314&lt;&gt;"",1+MAX($A$2:A313),"")</f>
        <v/>
      </c>
      <c r="B314" s="61"/>
      <c r="C314" s="62"/>
      <c r="D314" s="56" t="s">
        <v>286</v>
      </c>
      <c r="E314" s="123"/>
      <c r="F314" s="63"/>
      <c r="G314" s="64"/>
      <c r="H314" s="35"/>
      <c r="I314" s="65"/>
      <c r="J314" s="226"/>
      <c r="K314" s="59"/>
      <c r="L314" s="59"/>
      <c r="M314" s="37"/>
      <c r="N314" s="39"/>
      <c r="O314" s="7"/>
      <c r="P314" s="254">
        <f t="shared" si="210"/>
        <v>0</v>
      </c>
      <c r="Q314" s="255">
        <f t="shared" si="211"/>
        <v>0</v>
      </c>
      <c r="R314" s="7"/>
    </row>
    <row r="315" spans="1:18" ht="15.6" x14ac:dyDescent="0.25">
      <c r="A315" s="66">
        <f>IF(G315&lt;&gt;"",1+MAX($A$2:A314),"")</f>
        <v>193</v>
      </c>
      <c r="B315" s="167" t="s">
        <v>287</v>
      </c>
      <c r="C315" s="87" t="s">
        <v>81</v>
      </c>
      <c r="D315" s="24" t="s">
        <v>288</v>
      </c>
      <c r="E315" s="25" t="s">
        <v>7</v>
      </c>
      <c r="F315" s="35">
        <v>16</v>
      </c>
      <c r="G315" s="34">
        <v>0.1</v>
      </c>
      <c r="H315" s="35">
        <f t="shared" ref="H315" si="231">(G315*F315)+F315</f>
        <v>17.600000000000001</v>
      </c>
      <c r="I315" s="190">
        <v>0.05</v>
      </c>
      <c r="J315" s="223">
        <v>32.5</v>
      </c>
      <c r="K315" s="36">
        <f>I315*J315</f>
        <v>1.625</v>
      </c>
      <c r="L315" s="36">
        <f>47.11</f>
        <v>47.11</v>
      </c>
      <c r="M315" s="37">
        <f t="shared" ref="M315" si="232">+L315+K315</f>
        <v>48.734999999999999</v>
      </c>
      <c r="N315" s="39">
        <f t="shared" ref="N315" si="233">H315*M315</f>
        <v>857.7360000000001</v>
      </c>
      <c r="O315" s="7"/>
      <c r="P315" s="254">
        <f t="shared" si="210"/>
        <v>28.6</v>
      </c>
      <c r="Q315" s="255">
        <f t="shared" si="211"/>
        <v>829.13600000000008</v>
      </c>
      <c r="R315" s="7"/>
    </row>
    <row r="316" spans="1:18" s="1" customFormat="1" ht="31.2" x14ac:dyDescent="0.25">
      <c r="A316" s="40" t="str">
        <f>IF(G316&lt;&gt;"",1+MAX($A$2:A315),"")</f>
        <v/>
      </c>
      <c r="B316" s="41"/>
      <c r="C316" s="41"/>
      <c r="D316" s="41"/>
      <c r="E316" s="41"/>
      <c r="F316" s="41"/>
      <c r="G316" s="41"/>
      <c r="H316" s="41"/>
      <c r="I316" s="245"/>
      <c r="J316" s="224"/>
      <c r="K316" s="42"/>
      <c r="L316" s="42"/>
      <c r="M316" s="43" t="s">
        <v>19</v>
      </c>
      <c r="N316" s="44">
        <f>SUM(N311:N315)</f>
        <v>2126.7359999999999</v>
      </c>
      <c r="O316" s="7"/>
      <c r="P316" s="254">
        <f t="shared" si="210"/>
        <v>0</v>
      </c>
      <c r="Q316" s="255">
        <f t="shared" si="211"/>
        <v>0</v>
      </c>
      <c r="R316" s="7"/>
    </row>
    <row r="317" spans="1:18" s="1" customFormat="1" ht="15.6" x14ac:dyDescent="0.25">
      <c r="A317" s="97" t="str">
        <f>IF(G317&lt;&gt;"",1+MAX($A$2:A316),"")</f>
        <v/>
      </c>
      <c r="B317" s="98"/>
      <c r="C317" s="98"/>
      <c r="D317" s="99"/>
      <c r="E317" s="100"/>
      <c r="F317" s="101"/>
      <c r="G317" s="98"/>
      <c r="H317" s="98"/>
      <c r="I317" s="102"/>
      <c r="J317" s="233"/>
      <c r="K317" s="103"/>
      <c r="L317" s="103"/>
      <c r="M317" s="104"/>
      <c r="N317" s="105"/>
      <c r="O317" s="7"/>
      <c r="P317" s="254">
        <f t="shared" si="210"/>
        <v>0</v>
      </c>
      <c r="Q317" s="255">
        <f t="shared" si="211"/>
        <v>0</v>
      </c>
      <c r="R317" s="7"/>
    </row>
    <row r="318" spans="1:18" s="1" customFormat="1" ht="17.399999999999999" x14ac:dyDescent="0.25">
      <c r="A318" s="48" t="str">
        <f>IF(G318&lt;&gt;"",1+MAX($A$2:A317),"")</f>
        <v/>
      </c>
      <c r="B318" s="49"/>
      <c r="C318" s="49"/>
      <c r="D318" s="50"/>
      <c r="E318" s="51" t="s">
        <v>293</v>
      </c>
      <c r="F318" s="52"/>
      <c r="G318" s="52"/>
      <c r="H318" s="52"/>
      <c r="I318" s="244"/>
      <c r="J318" s="222"/>
      <c r="K318" s="52"/>
      <c r="L318" s="52"/>
      <c r="M318" s="53"/>
      <c r="N318" s="54"/>
      <c r="O318" s="7"/>
      <c r="P318" s="254">
        <f t="shared" si="210"/>
        <v>0</v>
      </c>
      <c r="Q318" s="255">
        <f t="shared" si="211"/>
        <v>0</v>
      </c>
      <c r="R318" s="7"/>
    </row>
    <row r="319" spans="1:18" ht="18" customHeight="1" x14ac:dyDescent="0.3">
      <c r="A319" s="85" t="str">
        <f>IF(G319&lt;&gt;"",1+MAX($A$2:A318),"")</f>
        <v/>
      </c>
      <c r="B319" s="171"/>
      <c r="C319" s="172"/>
      <c r="D319" s="56" t="s">
        <v>50</v>
      </c>
      <c r="E319" s="123"/>
      <c r="F319" s="63"/>
      <c r="G319" s="64"/>
      <c r="H319" s="35"/>
      <c r="I319" s="65"/>
      <c r="J319" s="226"/>
      <c r="K319" s="59"/>
      <c r="L319" s="59"/>
      <c r="M319" s="37"/>
      <c r="N319" s="39"/>
      <c r="O319" s="7"/>
      <c r="P319" s="254">
        <f t="shared" si="210"/>
        <v>0</v>
      </c>
      <c r="Q319" s="255">
        <f t="shared" si="211"/>
        <v>0</v>
      </c>
      <c r="R319" s="7"/>
    </row>
    <row r="320" spans="1:18" ht="187.2" x14ac:dyDescent="0.25">
      <c r="A320" s="66">
        <f>IF(G320&lt;&gt;"",1+MAX($A$2:A319),"")</f>
        <v>194</v>
      </c>
      <c r="B320" s="317" t="s">
        <v>230</v>
      </c>
      <c r="C320" s="325" t="s">
        <v>335</v>
      </c>
      <c r="D320" s="159" t="s">
        <v>334</v>
      </c>
      <c r="E320" s="33" t="s">
        <v>27</v>
      </c>
      <c r="F320" s="35">
        <v>1</v>
      </c>
      <c r="G320" s="34">
        <v>0</v>
      </c>
      <c r="H320" s="35">
        <f t="shared" ref="H320:H321" si="234">(G320*F320)+F320</f>
        <v>1</v>
      </c>
      <c r="I320" s="190">
        <v>2.25</v>
      </c>
      <c r="J320" s="223">
        <v>32.5</v>
      </c>
      <c r="K320" s="36">
        <f t="shared" ref="K320:K321" si="235">I320*J320</f>
        <v>73.125</v>
      </c>
      <c r="L320" s="36">
        <v>1450</v>
      </c>
      <c r="M320" s="37">
        <f t="shared" ref="M320:M321" si="236">+L320+K320</f>
        <v>1523.125</v>
      </c>
      <c r="N320" s="39">
        <f t="shared" ref="N320:N321" si="237">H320*M320</f>
        <v>1523.125</v>
      </c>
      <c r="O320" s="7"/>
      <c r="P320" s="254">
        <f t="shared" si="210"/>
        <v>73.125</v>
      </c>
      <c r="Q320" s="255">
        <f t="shared" si="211"/>
        <v>1450</v>
      </c>
      <c r="R320" s="7"/>
    </row>
    <row r="321" spans="1:20" ht="93.6" x14ac:dyDescent="0.25">
      <c r="A321" s="66">
        <f>IF(G321&lt;&gt;"",1+MAX($A$2:A320),"")</f>
        <v>195</v>
      </c>
      <c r="B321" s="318"/>
      <c r="C321" s="327"/>
      <c r="D321" s="159" t="s">
        <v>333</v>
      </c>
      <c r="E321" s="33" t="s">
        <v>27</v>
      </c>
      <c r="F321" s="35">
        <v>1</v>
      </c>
      <c r="G321" s="34">
        <v>0</v>
      </c>
      <c r="H321" s="35">
        <f t="shared" si="234"/>
        <v>1</v>
      </c>
      <c r="I321" s="190">
        <v>2.5</v>
      </c>
      <c r="J321" s="223">
        <v>32.5</v>
      </c>
      <c r="K321" s="36">
        <f t="shared" si="235"/>
        <v>81.25</v>
      </c>
      <c r="L321" s="36">
        <v>1150</v>
      </c>
      <c r="M321" s="37">
        <f t="shared" si="236"/>
        <v>1231.25</v>
      </c>
      <c r="N321" s="39">
        <f t="shared" si="237"/>
        <v>1231.25</v>
      </c>
      <c r="O321" s="7"/>
      <c r="P321" s="254">
        <f t="shared" si="210"/>
        <v>81.25</v>
      </c>
      <c r="Q321" s="255">
        <f t="shared" si="211"/>
        <v>1150</v>
      </c>
      <c r="R321" s="7"/>
    </row>
    <row r="322" spans="1:20" s="1" customFormat="1" ht="31.2" x14ac:dyDescent="0.25">
      <c r="A322" s="40" t="str">
        <f>IF(G322&lt;&gt;"",1+MAX($A$2:A321),"")</f>
        <v/>
      </c>
      <c r="B322" s="41"/>
      <c r="C322" s="41"/>
      <c r="D322" s="41"/>
      <c r="E322" s="41"/>
      <c r="F322" s="41"/>
      <c r="G322" s="41"/>
      <c r="H322" s="41"/>
      <c r="I322" s="245"/>
      <c r="J322" s="224"/>
      <c r="K322" s="42"/>
      <c r="L322" s="42"/>
      <c r="M322" s="43" t="s">
        <v>19</v>
      </c>
      <c r="N322" s="44">
        <f>SUM(N319:N321)</f>
        <v>2754.375</v>
      </c>
      <c r="O322" s="7"/>
      <c r="P322" s="254">
        <f t="shared" si="210"/>
        <v>0</v>
      </c>
      <c r="Q322" s="255">
        <f t="shared" si="211"/>
        <v>0</v>
      </c>
      <c r="R322" s="7"/>
    </row>
    <row r="323" spans="1:20" ht="15.6" x14ac:dyDescent="0.25">
      <c r="A323" s="71" t="str">
        <f>IF(G323&lt;&gt;"",1+MAX($A$2:A322),"")</f>
        <v/>
      </c>
      <c r="B323" s="72"/>
      <c r="C323" s="72"/>
      <c r="D323" s="72"/>
      <c r="E323" s="73"/>
      <c r="F323" s="137"/>
      <c r="G323" s="74"/>
      <c r="H323" s="137"/>
      <c r="I323" s="138"/>
      <c r="J323" s="231"/>
      <c r="K323" s="75"/>
      <c r="L323" s="75"/>
      <c r="M323" s="139"/>
      <c r="N323" s="76"/>
      <c r="O323" s="7"/>
      <c r="P323" s="254">
        <f t="shared" si="210"/>
        <v>0</v>
      </c>
      <c r="Q323" s="255">
        <f t="shared" si="211"/>
        <v>0</v>
      </c>
      <c r="R323" s="7"/>
    </row>
    <row r="324" spans="1:20" s="1" customFormat="1" ht="17.399999999999999" x14ac:dyDescent="0.25">
      <c r="A324" s="48" t="str">
        <f>IF(G324&lt;&gt;"",1+MAX($A$2:A323),"")</f>
        <v/>
      </c>
      <c r="B324" s="49"/>
      <c r="C324" s="49"/>
      <c r="D324" s="50"/>
      <c r="E324" s="51" t="s">
        <v>294</v>
      </c>
      <c r="F324" s="52"/>
      <c r="G324" s="52"/>
      <c r="H324" s="52"/>
      <c r="I324" s="244"/>
      <c r="J324" s="222"/>
      <c r="K324" s="52"/>
      <c r="L324" s="52"/>
      <c r="M324" s="53"/>
      <c r="N324" s="54"/>
      <c r="O324" s="7"/>
      <c r="P324" s="254">
        <f t="shared" si="210"/>
        <v>0</v>
      </c>
      <c r="Q324" s="255">
        <f t="shared" si="211"/>
        <v>0</v>
      </c>
      <c r="R324" s="7"/>
    </row>
    <row r="325" spans="1:20" ht="18" customHeight="1" x14ac:dyDescent="0.3">
      <c r="A325" s="85" t="str">
        <f>IF(G325&lt;&gt;"",1+MAX($A$2:A324),"")</f>
        <v/>
      </c>
      <c r="B325" s="171"/>
      <c r="C325" s="172"/>
      <c r="D325" s="56" t="s">
        <v>390</v>
      </c>
      <c r="E325" s="123"/>
      <c r="F325" s="63"/>
      <c r="G325" s="64"/>
      <c r="H325" s="35"/>
      <c r="I325" s="65"/>
      <c r="J325" s="226"/>
      <c r="K325" s="59"/>
      <c r="L325" s="59"/>
      <c r="M325" s="37"/>
      <c r="N325" s="39"/>
      <c r="O325" s="7"/>
      <c r="P325" s="254">
        <f t="shared" si="210"/>
        <v>0</v>
      </c>
      <c r="Q325" s="255">
        <f t="shared" si="211"/>
        <v>0</v>
      </c>
      <c r="R325" s="7"/>
    </row>
    <row r="326" spans="1:20" ht="46.8" x14ac:dyDescent="0.25">
      <c r="A326" s="66">
        <f>IF(G326&lt;&gt;"",1+MAX($A$2:A325),"")</f>
        <v>196</v>
      </c>
      <c r="B326" s="317" t="s">
        <v>230</v>
      </c>
      <c r="C326" s="325" t="s">
        <v>337</v>
      </c>
      <c r="D326" s="159" t="s">
        <v>381</v>
      </c>
      <c r="E326" s="33" t="s">
        <v>7</v>
      </c>
      <c r="F326" s="35">
        <v>38.39</v>
      </c>
      <c r="G326" s="34">
        <v>0.1</v>
      </c>
      <c r="H326" s="35">
        <f t="shared" ref="H326:H329" si="238">(G326*F326)+F326</f>
        <v>42.228999999999999</v>
      </c>
      <c r="I326" s="190">
        <v>0.2</v>
      </c>
      <c r="J326" s="223">
        <v>32.5</v>
      </c>
      <c r="K326" s="36">
        <f t="shared" ref="K326:K329" si="239">I326*J326</f>
        <v>6.5</v>
      </c>
      <c r="L326" s="36">
        <v>0</v>
      </c>
      <c r="M326" s="37">
        <f t="shared" ref="M326:M329" si="240">+L326+K326</f>
        <v>6.5</v>
      </c>
      <c r="N326" s="39">
        <f t="shared" ref="N326:N329" si="241">H326*M326</f>
        <v>274.48849999999999</v>
      </c>
      <c r="O326" s="7"/>
      <c r="P326" s="254">
        <f t="shared" si="210"/>
        <v>274.48849999999999</v>
      </c>
      <c r="Q326" s="255">
        <f t="shared" si="211"/>
        <v>0</v>
      </c>
      <c r="R326" s="7"/>
    </row>
    <row r="327" spans="1:20" ht="15.6" x14ac:dyDescent="0.25">
      <c r="A327" s="66">
        <f>IF(G327&lt;&gt;"",1+MAX($A$2:A326),"")</f>
        <v>197</v>
      </c>
      <c r="B327" s="322"/>
      <c r="C327" s="326"/>
      <c r="D327" s="159" t="s">
        <v>295</v>
      </c>
      <c r="E327" s="33" t="s">
        <v>29</v>
      </c>
      <c r="F327" s="35">
        <v>4.0199999999999996</v>
      </c>
      <c r="G327" s="34">
        <v>0.1</v>
      </c>
      <c r="H327" s="35">
        <f t="shared" si="238"/>
        <v>4.4219999999999997</v>
      </c>
      <c r="I327" s="190">
        <v>0.1</v>
      </c>
      <c r="J327" s="223">
        <v>32.5</v>
      </c>
      <c r="K327" s="36">
        <f t="shared" si="239"/>
        <v>3.25</v>
      </c>
      <c r="L327" s="36">
        <v>26.5</v>
      </c>
      <c r="M327" s="37">
        <f t="shared" si="240"/>
        <v>29.75</v>
      </c>
      <c r="N327" s="39">
        <f t="shared" si="241"/>
        <v>131.55449999999999</v>
      </c>
      <c r="O327" s="7"/>
      <c r="P327" s="254">
        <f t="shared" si="210"/>
        <v>14.371499999999999</v>
      </c>
      <c r="Q327" s="255">
        <f t="shared" si="211"/>
        <v>117.18299999999999</v>
      </c>
      <c r="R327" s="7"/>
    </row>
    <row r="328" spans="1:20" ht="15.6" x14ac:dyDescent="0.25">
      <c r="A328" s="66">
        <f>IF(G328&lt;&gt;"",1+MAX($A$2:A327),"")</f>
        <v>198</v>
      </c>
      <c r="B328" s="322"/>
      <c r="C328" s="327"/>
      <c r="D328" s="159" t="s">
        <v>296</v>
      </c>
      <c r="E328" s="33" t="s">
        <v>29</v>
      </c>
      <c r="F328" s="35">
        <v>18.46</v>
      </c>
      <c r="G328" s="34">
        <v>0.1</v>
      </c>
      <c r="H328" s="35">
        <f t="shared" ref="H328" si="242">(G328*F328)+F328</f>
        <v>20.306000000000001</v>
      </c>
      <c r="I328" s="190">
        <v>0.1</v>
      </c>
      <c r="J328" s="223">
        <v>32.5</v>
      </c>
      <c r="K328" s="36">
        <f t="shared" ref="K328" si="243">I328*J328</f>
        <v>3.25</v>
      </c>
      <c r="L328" s="36">
        <v>26.5</v>
      </c>
      <c r="M328" s="37">
        <f t="shared" ref="M328" si="244">+L328+K328</f>
        <v>29.75</v>
      </c>
      <c r="N328" s="39">
        <f t="shared" ref="N328" si="245">H328*M328</f>
        <v>604.10350000000005</v>
      </c>
      <c r="O328" s="7"/>
      <c r="P328" s="254">
        <f t="shared" si="210"/>
        <v>65.994500000000002</v>
      </c>
      <c r="Q328" s="255">
        <f t="shared" si="211"/>
        <v>538.10900000000004</v>
      </c>
      <c r="R328" s="7"/>
    </row>
    <row r="329" spans="1:20" ht="156" x14ac:dyDescent="0.25">
      <c r="A329" s="66">
        <f>IF(G329&lt;&gt;"",1+MAX($A$2:A328),"")</f>
        <v>199</v>
      </c>
      <c r="B329" s="318"/>
      <c r="C329" s="171" t="s">
        <v>339</v>
      </c>
      <c r="D329" s="159" t="s">
        <v>338</v>
      </c>
      <c r="E329" s="33" t="s">
        <v>7</v>
      </c>
      <c r="F329" s="35">
        <v>11.55</v>
      </c>
      <c r="G329" s="34">
        <v>0.1</v>
      </c>
      <c r="H329" s="35">
        <f t="shared" si="238"/>
        <v>12.705</v>
      </c>
      <c r="I329" s="190">
        <v>0.14499999999999999</v>
      </c>
      <c r="J329" s="223">
        <v>32.5</v>
      </c>
      <c r="K329" s="36">
        <f t="shared" si="239"/>
        <v>4.7124999999999995</v>
      </c>
      <c r="L329" s="36">
        <v>6.25</v>
      </c>
      <c r="M329" s="37">
        <f t="shared" si="240"/>
        <v>10.962499999999999</v>
      </c>
      <c r="N329" s="39">
        <f t="shared" si="241"/>
        <v>139.27856249999999</v>
      </c>
      <c r="O329" s="7"/>
      <c r="P329" s="254">
        <f t="shared" si="210"/>
        <v>59.872312499999992</v>
      </c>
      <c r="Q329" s="255">
        <f t="shared" si="211"/>
        <v>79.40625</v>
      </c>
      <c r="R329" s="7"/>
    </row>
    <row r="330" spans="1:20" s="1" customFormat="1" ht="31.2" x14ac:dyDescent="0.25">
      <c r="A330" s="40" t="str">
        <f>IF(G330&lt;&gt;"",1+MAX($A$2:A329),"")</f>
        <v/>
      </c>
      <c r="B330" s="41"/>
      <c r="C330" s="41"/>
      <c r="D330" s="41"/>
      <c r="E330" s="41"/>
      <c r="F330" s="41"/>
      <c r="G330" s="41"/>
      <c r="H330" s="41"/>
      <c r="I330" s="245"/>
      <c r="J330" s="224"/>
      <c r="K330" s="42"/>
      <c r="L330" s="42"/>
      <c r="M330" s="43" t="s">
        <v>19</v>
      </c>
      <c r="N330" s="44">
        <f>SUM(N325:N329)</f>
        <v>1149.4250625</v>
      </c>
      <c r="O330" s="7"/>
      <c r="P330" s="254">
        <f t="shared" ref="P330:P393" si="246">K330*H330</f>
        <v>0</v>
      </c>
      <c r="Q330" s="255">
        <f t="shared" ref="Q330:Q393" si="247">L330*H330</f>
        <v>0</v>
      </c>
      <c r="R330" s="7"/>
    </row>
    <row r="331" spans="1:20" ht="15.6" x14ac:dyDescent="0.25">
      <c r="A331" s="71" t="str">
        <f>IF(G331&lt;&gt;"",1+MAX($A$2:A330),"")</f>
        <v/>
      </c>
      <c r="B331" s="72"/>
      <c r="C331" s="72"/>
      <c r="D331" s="72"/>
      <c r="E331" s="73"/>
      <c r="F331" s="137"/>
      <c r="G331" s="74"/>
      <c r="H331" s="137"/>
      <c r="I331" s="138"/>
      <c r="J331" s="137"/>
      <c r="K331" s="75"/>
      <c r="L331" s="75"/>
      <c r="M331" s="139"/>
      <c r="N331" s="76"/>
      <c r="P331" s="254">
        <f t="shared" si="246"/>
        <v>0</v>
      </c>
      <c r="Q331" s="255">
        <f t="shared" si="247"/>
        <v>0</v>
      </c>
    </row>
    <row r="332" spans="1:20" ht="17.399999999999999" x14ac:dyDescent="0.25">
      <c r="A332" s="48" t="str">
        <f>IF(G332&lt;&gt;"",1+MAX($A$2:A330),"")</f>
        <v/>
      </c>
      <c r="B332" s="49"/>
      <c r="C332" s="49"/>
      <c r="D332" s="50"/>
      <c r="E332" s="51" t="s">
        <v>400</v>
      </c>
      <c r="F332" s="52"/>
      <c r="G332" s="52"/>
      <c r="H332" s="52"/>
      <c r="I332" s="244"/>
      <c r="J332" s="52"/>
      <c r="K332" s="52"/>
      <c r="L332" s="52"/>
      <c r="M332" s="53"/>
      <c r="N332" s="54"/>
      <c r="O332" s="7"/>
      <c r="P332" s="254">
        <f t="shared" si="246"/>
        <v>0</v>
      </c>
      <c r="Q332" s="255">
        <f t="shared" si="247"/>
        <v>0</v>
      </c>
      <c r="R332" s="7"/>
      <c r="S332" s="7"/>
      <c r="T332" s="7"/>
    </row>
    <row r="333" spans="1:20" ht="18" customHeight="1" x14ac:dyDescent="0.25">
      <c r="A333" s="106" t="str">
        <f>IF(G333&lt;&gt;"",1+MAX($A$2:A332),"")</f>
        <v/>
      </c>
      <c r="B333" s="33"/>
      <c r="C333" s="277"/>
      <c r="D333" s="56" t="s">
        <v>401</v>
      </c>
      <c r="E333" s="123"/>
      <c r="F333" s="95"/>
      <c r="G333" s="34"/>
      <c r="H333" s="35"/>
      <c r="I333" s="188"/>
      <c r="J333" s="36"/>
      <c r="K333" s="278"/>
      <c r="L333" s="278"/>
      <c r="M333" s="37"/>
      <c r="N333" s="38"/>
      <c r="O333" s="7"/>
      <c r="P333" s="254">
        <f t="shared" si="246"/>
        <v>0</v>
      </c>
      <c r="Q333" s="255">
        <f t="shared" si="247"/>
        <v>0</v>
      </c>
      <c r="R333" s="7"/>
      <c r="S333" s="7"/>
      <c r="T333" s="7"/>
    </row>
    <row r="334" spans="1:20" ht="31.2" x14ac:dyDescent="0.25">
      <c r="A334" s="106">
        <f>IF(G334&lt;&gt;"",1+MAX($A$2:A333),"")</f>
        <v>200</v>
      </c>
      <c r="B334" s="168" t="s">
        <v>402</v>
      </c>
      <c r="C334" s="33"/>
      <c r="D334" s="159" t="s">
        <v>403</v>
      </c>
      <c r="E334" s="279" t="s">
        <v>4</v>
      </c>
      <c r="F334" s="35">
        <v>1</v>
      </c>
      <c r="G334" s="34">
        <v>0</v>
      </c>
      <c r="H334" s="35">
        <f t="shared" ref="H334" si="248">(G334*F334)+F334</f>
        <v>1</v>
      </c>
      <c r="I334" s="190">
        <v>0</v>
      </c>
      <c r="J334" s="276">
        <v>62</v>
      </c>
      <c r="K334" s="278">
        <f t="shared" ref="K334" si="249">I334*J334</f>
        <v>0</v>
      </c>
      <c r="L334" s="278">
        <v>0</v>
      </c>
      <c r="M334" s="37">
        <f>47*22</f>
        <v>1034</v>
      </c>
      <c r="N334" s="38">
        <f t="shared" ref="N334" si="250">H334*M334</f>
        <v>1034</v>
      </c>
      <c r="P334" s="254">
        <f t="shared" si="246"/>
        <v>0</v>
      </c>
      <c r="Q334" s="255">
        <f t="shared" si="247"/>
        <v>0</v>
      </c>
    </row>
    <row r="335" spans="1:20" s="1" customFormat="1" ht="18" customHeight="1" x14ac:dyDescent="0.25">
      <c r="A335" s="40" t="str">
        <f>IF(G335&lt;&gt;"",1+MAX($A$2:A334),"")</f>
        <v/>
      </c>
      <c r="B335" s="41"/>
      <c r="C335" s="41"/>
      <c r="D335" s="280"/>
      <c r="E335" s="281"/>
      <c r="F335" s="282"/>
      <c r="G335" s="41"/>
      <c r="H335" s="41"/>
      <c r="I335" s="245"/>
      <c r="J335" s="41"/>
      <c r="K335" s="42"/>
      <c r="L335" s="42"/>
      <c r="M335" s="43" t="s">
        <v>19</v>
      </c>
      <c r="N335" s="283">
        <f>SUM(N334)</f>
        <v>1034</v>
      </c>
      <c r="P335" s="254">
        <f t="shared" si="246"/>
        <v>0</v>
      </c>
      <c r="Q335" s="255">
        <f t="shared" si="247"/>
        <v>0</v>
      </c>
    </row>
    <row r="336" spans="1:20" ht="15.6" x14ac:dyDescent="0.25">
      <c r="A336" s="71" t="str">
        <f>IF(G336&lt;&gt;"",1+MAX($A$2:A335),"")</f>
        <v/>
      </c>
      <c r="B336" s="72"/>
      <c r="C336" s="72"/>
      <c r="D336" s="72"/>
      <c r="E336" s="73"/>
      <c r="F336" s="137"/>
      <c r="G336" s="74"/>
      <c r="H336" s="137"/>
      <c r="I336" s="138"/>
      <c r="J336" s="137"/>
      <c r="K336" s="75"/>
      <c r="L336" s="75"/>
      <c r="M336" s="139"/>
      <c r="N336" s="76"/>
      <c r="P336" s="254">
        <f t="shared" si="246"/>
        <v>0</v>
      </c>
      <c r="Q336" s="255">
        <f t="shared" si="247"/>
        <v>0</v>
      </c>
    </row>
    <row r="337" spans="1:20" ht="17.399999999999999" x14ac:dyDescent="0.25">
      <c r="A337" s="48" t="str">
        <f>IF(G337&lt;&gt;"",1+MAX($A$2:A336),"")</f>
        <v/>
      </c>
      <c r="B337" s="49"/>
      <c r="C337" s="49"/>
      <c r="D337" s="50"/>
      <c r="E337" s="51" t="s">
        <v>404</v>
      </c>
      <c r="F337" s="52"/>
      <c r="G337" s="52"/>
      <c r="H337" s="52"/>
      <c r="I337" s="244"/>
      <c r="J337" s="52"/>
      <c r="K337" s="52"/>
      <c r="L337" s="52"/>
      <c r="M337" s="53"/>
      <c r="N337" s="54"/>
      <c r="O337" s="7"/>
      <c r="P337" s="254">
        <f t="shared" si="246"/>
        <v>0</v>
      </c>
      <c r="Q337" s="255">
        <f t="shared" si="247"/>
        <v>0</v>
      </c>
      <c r="R337" s="7"/>
      <c r="S337" s="7"/>
      <c r="T337" s="7"/>
    </row>
    <row r="338" spans="1:20" ht="15.6" x14ac:dyDescent="0.25">
      <c r="A338" s="106" t="str">
        <f>IF(G338&lt;&gt;"",1+MAX($A$2:A337),"")</f>
        <v/>
      </c>
      <c r="B338" s="33"/>
      <c r="C338" s="33"/>
      <c r="D338" s="56" t="s">
        <v>405</v>
      </c>
      <c r="E338" s="123"/>
      <c r="F338" s="35"/>
      <c r="G338" s="34"/>
      <c r="H338" s="35"/>
      <c r="I338" s="188"/>
      <c r="J338" s="36"/>
      <c r="K338" s="278"/>
      <c r="L338" s="278"/>
      <c r="M338" s="37"/>
      <c r="N338" s="38"/>
      <c r="O338" s="7"/>
      <c r="P338" s="254">
        <f t="shared" si="246"/>
        <v>0</v>
      </c>
      <c r="Q338" s="255">
        <f t="shared" si="247"/>
        <v>0</v>
      </c>
      <c r="R338" s="7"/>
      <c r="S338" s="7"/>
      <c r="T338" s="7"/>
    </row>
    <row r="339" spans="1:20" ht="17.399999999999999" x14ac:dyDescent="0.25">
      <c r="A339" s="106" t="str">
        <f>IF(G339&lt;&gt;"",1+MAX($A$2:A338),"")</f>
        <v/>
      </c>
      <c r="B339" s="325" t="s">
        <v>402</v>
      </c>
      <c r="C339" s="169" t="s">
        <v>406</v>
      </c>
      <c r="D339" s="285" t="s">
        <v>407</v>
      </c>
      <c r="E339" s="286"/>
      <c r="F339" s="95"/>
      <c r="G339" s="34"/>
      <c r="H339" s="35"/>
      <c r="I339" s="188"/>
      <c r="J339" s="36"/>
      <c r="K339" s="278"/>
      <c r="L339" s="278"/>
      <c r="M339" s="37"/>
      <c r="N339" s="38"/>
      <c r="O339" s="7"/>
      <c r="P339" s="254">
        <f t="shared" si="246"/>
        <v>0</v>
      </c>
      <c r="Q339" s="255">
        <f t="shared" si="247"/>
        <v>0</v>
      </c>
      <c r="R339" s="7"/>
      <c r="S339" s="7"/>
      <c r="T339" s="7"/>
    </row>
    <row r="340" spans="1:20" ht="15.6" x14ac:dyDescent="0.25">
      <c r="A340" s="106">
        <f>IF(G340&lt;&gt;"",1+MAX($A$2:A339),"")</f>
        <v>201</v>
      </c>
      <c r="B340" s="326"/>
      <c r="C340" s="33"/>
      <c r="D340" s="24" t="s">
        <v>408</v>
      </c>
      <c r="E340" s="287" t="s">
        <v>29</v>
      </c>
      <c r="F340" s="35">
        <v>13.58</v>
      </c>
      <c r="G340" s="34">
        <v>0.1</v>
      </c>
      <c r="H340" s="35">
        <f t="shared" ref="H340" si="251">(G340*F340)+F340</f>
        <v>14.938000000000001</v>
      </c>
      <c r="I340" s="190">
        <v>0.105</v>
      </c>
      <c r="J340" s="276">
        <v>60</v>
      </c>
      <c r="K340" s="59">
        <f t="shared" ref="K340" si="252">I340*J340</f>
        <v>6.3</v>
      </c>
      <c r="L340" s="36">
        <v>5.4</v>
      </c>
      <c r="M340" s="37">
        <f t="shared" ref="M340" si="253">+L340+K340</f>
        <v>11.7</v>
      </c>
      <c r="N340" s="38">
        <f t="shared" ref="N340" si="254">H340*M340</f>
        <v>174.77459999999999</v>
      </c>
      <c r="O340" s="7"/>
      <c r="P340" s="254">
        <f t="shared" si="246"/>
        <v>94.109400000000008</v>
      </c>
      <c r="Q340" s="255">
        <f t="shared" si="247"/>
        <v>80.665200000000013</v>
      </c>
      <c r="R340" s="7"/>
      <c r="S340" s="7"/>
      <c r="T340" s="7"/>
    </row>
    <row r="341" spans="1:20" ht="17.399999999999999" x14ac:dyDescent="0.25">
      <c r="A341" s="106" t="str">
        <f>IF(G341&lt;&gt;"",1+MAX($A$2:A340),"")</f>
        <v/>
      </c>
      <c r="B341" s="326"/>
      <c r="C341" s="277"/>
      <c r="D341" s="285" t="s">
        <v>409</v>
      </c>
      <c r="E341" s="286"/>
      <c r="F341" s="95"/>
      <c r="G341" s="34"/>
      <c r="H341" s="35"/>
      <c r="I341" s="188"/>
      <c r="J341" s="276"/>
      <c r="K341" s="278"/>
      <c r="L341" s="278"/>
      <c r="M341" s="37"/>
      <c r="N341" s="38"/>
      <c r="O341" s="7"/>
      <c r="P341" s="254">
        <f t="shared" si="246"/>
        <v>0</v>
      </c>
      <c r="Q341" s="255">
        <f t="shared" si="247"/>
        <v>0</v>
      </c>
      <c r="R341" s="7"/>
      <c r="S341" s="7"/>
      <c r="T341" s="7"/>
    </row>
    <row r="342" spans="1:20" ht="15.6" x14ac:dyDescent="0.25">
      <c r="A342" s="106">
        <f>IF(G342&lt;&gt;"",1+MAX($A$2:A341),"")</f>
        <v>202</v>
      </c>
      <c r="B342" s="326"/>
      <c r="C342" s="33"/>
      <c r="D342" s="24" t="s">
        <v>408</v>
      </c>
      <c r="E342" s="287" t="s">
        <v>29</v>
      </c>
      <c r="F342" s="35">
        <v>13.58</v>
      </c>
      <c r="G342" s="34">
        <v>0.1</v>
      </c>
      <c r="H342" s="35">
        <f t="shared" ref="H342" si="255">(G342*F342)+F342</f>
        <v>14.938000000000001</v>
      </c>
      <c r="I342" s="190">
        <v>2.1999999999999999E-2</v>
      </c>
      <c r="J342" s="276">
        <v>60</v>
      </c>
      <c r="K342" s="278">
        <f t="shared" ref="K342" si="256">I342*J342</f>
        <v>1.3199999999999998</v>
      </c>
      <c r="L342" s="278">
        <v>2.48</v>
      </c>
      <c r="M342" s="37">
        <f t="shared" ref="M342" si="257">+L342+K342</f>
        <v>3.8</v>
      </c>
      <c r="N342" s="38">
        <f t="shared" ref="N342" si="258">H342*M342</f>
        <v>56.764400000000002</v>
      </c>
      <c r="O342" s="7"/>
      <c r="P342" s="254">
        <f t="shared" si="246"/>
        <v>19.718159999999997</v>
      </c>
      <c r="Q342" s="255">
        <f t="shared" si="247"/>
        <v>37.046240000000004</v>
      </c>
      <c r="R342" s="7"/>
      <c r="S342" s="7"/>
      <c r="T342" s="7"/>
    </row>
    <row r="343" spans="1:20" ht="17.399999999999999" x14ac:dyDescent="0.3">
      <c r="A343" s="106" t="str">
        <f>IF(G343&lt;&gt;"",1+MAX($A$2:A342),"")</f>
        <v/>
      </c>
      <c r="B343" s="326"/>
      <c r="C343" s="33"/>
      <c r="D343" s="288" t="s">
        <v>410</v>
      </c>
      <c r="E343" s="289"/>
      <c r="F343" s="35"/>
      <c r="G343" s="34"/>
      <c r="H343" s="35"/>
      <c r="I343" s="188"/>
      <c r="J343" s="276"/>
      <c r="K343" s="278"/>
      <c r="L343" s="278"/>
      <c r="M343" s="37"/>
      <c r="N343" s="38"/>
      <c r="O343" s="7"/>
      <c r="P343" s="254">
        <f t="shared" si="246"/>
        <v>0</v>
      </c>
      <c r="Q343" s="255">
        <f t="shared" si="247"/>
        <v>0</v>
      </c>
      <c r="R343" s="7"/>
      <c r="S343" s="7"/>
      <c r="T343" s="7"/>
    </row>
    <row r="344" spans="1:20" ht="15.6" x14ac:dyDescent="0.25">
      <c r="A344" s="106" t="str">
        <f>IF(G344&lt;&gt;"",1+MAX($A$2:A343),"")</f>
        <v/>
      </c>
      <c r="B344" s="326"/>
      <c r="C344" s="277"/>
      <c r="D344" s="145" t="s">
        <v>411</v>
      </c>
      <c r="E344" s="290"/>
      <c r="F344" s="95"/>
      <c r="G344" s="34"/>
      <c r="H344" s="35"/>
      <c r="I344" s="188"/>
      <c r="J344" s="276"/>
      <c r="K344" s="278"/>
      <c r="L344" s="278"/>
      <c r="M344" s="37"/>
      <c r="N344" s="38"/>
      <c r="O344" s="7"/>
      <c r="P344" s="254">
        <f t="shared" si="246"/>
        <v>0</v>
      </c>
      <c r="Q344" s="255">
        <f t="shared" si="247"/>
        <v>0</v>
      </c>
      <c r="R344" s="7"/>
      <c r="S344" s="7"/>
      <c r="T344" s="7"/>
    </row>
    <row r="345" spans="1:20" ht="15.6" x14ac:dyDescent="0.25">
      <c r="A345" s="106">
        <f>IF(G345&lt;&gt;"",1+MAX($A$2:A344),"")</f>
        <v>203</v>
      </c>
      <c r="B345" s="326"/>
      <c r="C345" s="33"/>
      <c r="D345" s="24" t="s">
        <v>412</v>
      </c>
      <c r="E345" s="287" t="s">
        <v>27</v>
      </c>
      <c r="F345" s="35">
        <v>3</v>
      </c>
      <c r="G345" s="34">
        <v>0</v>
      </c>
      <c r="H345" s="35">
        <f t="shared" ref="H345" si="259">(G345*F345)+F345</f>
        <v>3</v>
      </c>
      <c r="I345" s="190">
        <v>0.66700000000000004</v>
      </c>
      <c r="J345" s="276">
        <v>60</v>
      </c>
      <c r="K345" s="59">
        <f t="shared" ref="K345" si="260">I345*J345</f>
        <v>40.020000000000003</v>
      </c>
      <c r="L345" s="36">
        <v>14.25</v>
      </c>
      <c r="M345" s="37">
        <f t="shared" ref="M345" si="261">+L345+K345</f>
        <v>54.27</v>
      </c>
      <c r="N345" s="38">
        <f>H345*M345</f>
        <v>162.81</v>
      </c>
      <c r="O345" s="7"/>
      <c r="P345" s="254">
        <f t="shared" si="246"/>
        <v>120.06</v>
      </c>
      <c r="Q345" s="255">
        <f t="shared" si="247"/>
        <v>42.75</v>
      </c>
      <c r="R345" s="7"/>
      <c r="S345" s="7"/>
      <c r="T345" s="7"/>
    </row>
    <row r="346" spans="1:20" ht="15.6" x14ac:dyDescent="0.25">
      <c r="A346" s="106" t="str">
        <f>IF(G346&lt;&gt;"",1+MAX($A$2:A345),"")</f>
        <v/>
      </c>
      <c r="B346" s="326"/>
      <c r="C346" s="33"/>
      <c r="D346" s="56" t="s">
        <v>413</v>
      </c>
      <c r="E346" s="123"/>
      <c r="F346" s="35"/>
      <c r="G346" s="34"/>
      <c r="H346" s="35"/>
      <c r="I346" s="188"/>
      <c r="J346" s="276"/>
      <c r="K346" s="278"/>
      <c r="L346" s="278"/>
      <c r="M346" s="37"/>
      <c r="N346" s="38"/>
      <c r="O346" s="7"/>
      <c r="P346" s="254">
        <f t="shared" si="246"/>
        <v>0</v>
      </c>
      <c r="Q346" s="255">
        <f t="shared" si="247"/>
        <v>0</v>
      </c>
      <c r="R346" s="7"/>
      <c r="S346" s="7"/>
      <c r="T346" s="7"/>
    </row>
    <row r="347" spans="1:20" ht="17.399999999999999" x14ac:dyDescent="0.25">
      <c r="A347" s="106" t="str">
        <f>IF(G347&lt;&gt;"",1+MAX($A$2:A346),"")</f>
        <v/>
      </c>
      <c r="B347" s="326"/>
      <c r="C347" s="169" t="s">
        <v>406</v>
      </c>
      <c r="D347" s="285" t="s">
        <v>407</v>
      </c>
      <c r="E347" s="286"/>
      <c r="F347" s="95"/>
      <c r="G347" s="34"/>
      <c r="H347" s="35"/>
      <c r="I347" s="188"/>
      <c r="J347" s="276"/>
      <c r="K347" s="278"/>
      <c r="L347" s="278"/>
      <c r="M347" s="37"/>
      <c r="N347" s="38"/>
      <c r="O347" s="7"/>
      <c r="P347" s="254">
        <f t="shared" si="246"/>
        <v>0</v>
      </c>
      <c r="Q347" s="255">
        <f t="shared" si="247"/>
        <v>0</v>
      </c>
      <c r="R347" s="7"/>
      <c r="S347" s="7"/>
      <c r="T347" s="7"/>
    </row>
    <row r="348" spans="1:20" ht="15.6" x14ac:dyDescent="0.25">
      <c r="A348" s="106">
        <f>IF(G348&lt;&gt;"",1+MAX($A$2:A347),"")</f>
        <v>204</v>
      </c>
      <c r="B348" s="326"/>
      <c r="C348" s="33"/>
      <c r="D348" s="24" t="s">
        <v>414</v>
      </c>
      <c r="E348" s="287" t="s">
        <v>29</v>
      </c>
      <c r="F348" s="35">
        <v>15.44</v>
      </c>
      <c r="G348" s="34">
        <v>0.1</v>
      </c>
      <c r="H348" s="35">
        <f t="shared" ref="H348" si="262">(G348*F348)+F348</f>
        <v>16.983999999999998</v>
      </c>
      <c r="I348" s="190">
        <v>0.105</v>
      </c>
      <c r="J348" s="276">
        <v>60</v>
      </c>
      <c r="K348" s="59">
        <f t="shared" ref="K348" si="263">I348*J348</f>
        <v>6.3</v>
      </c>
      <c r="L348" s="36">
        <v>5.4</v>
      </c>
      <c r="M348" s="37">
        <f t="shared" ref="M348" si="264">+L348+K348</f>
        <v>11.7</v>
      </c>
      <c r="N348" s="38">
        <f t="shared" ref="N348" si="265">H348*M348</f>
        <v>198.71279999999996</v>
      </c>
      <c r="O348" s="7"/>
      <c r="P348" s="254">
        <f t="shared" si="246"/>
        <v>106.99919999999999</v>
      </c>
      <c r="Q348" s="255">
        <f t="shared" si="247"/>
        <v>91.7136</v>
      </c>
      <c r="R348" s="7"/>
      <c r="S348" s="7"/>
      <c r="T348" s="7"/>
    </row>
    <row r="349" spans="1:20" ht="17.399999999999999" x14ac:dyDescent="0.25">
      <c r="A349" s="106" t="str">
        <f>IF(G349&lt;&gt;"",1+MAX($A$2:A348),"")</f>
        <v/>
      </c>
      <c r="B349" s="326"/>
      <c r="C349" s="277"/>
      <c r="D349" s="285" t="s">
        <v>409</v>
      </c>
      <c r="E349" s="286"/>
      <c r="F349" s="95"/>
      <c r="G349" s="34"/>
      <c r="H349" s="35"/>
      <c r="I349" s="188"/>
      <c r="J349" s="276"/>
      <c r="K349" s="278"/>
      <c r="L349" s="278"/>
      <c r="M349" s="37"/>
      <c r="N349" s="38"/>
      <c r="O349" s="7"/>
      <c r="P349" s="254">
        <f t="shared" si="246"/>
        <v>0</v>
      </c>
      <c r="Q349" s="255">
        <f t="shared" si="247"/>
        <v>0</v>
      </c>
      <c r="R349" s="7"/>
      <c r="S349" s="7"/>
      <c r="T349" s="7"/>
    </row>
    <row r="350" spans="1:20" ht="15.6" x14ac:dyDescent="0.25">
      <c r="A350" s="106">
        <f>IF(G350&lt;&gt;"",1+MAX($A$2:A349),"")</f>
        <v>205</v>
      </c>
      <c r="B350" s="326"/>
      <c r="C350" s="33"/>
      <c r="D350" s="24" t="s">
        <v>414</v>
      </c>
      <c r="E350" s="287" t="s">
        <v>29</v>
      </c>
      <c r="F350" s="35">
        <v>15.44</v>
      </c>
      <c r="G350" s="34">
        <v>0.1</v>
      </c>
      <c r="H350" s="35">
        <f t="shared" ref="H350" si="266">(G350*F350)+F350</f>
        <v>16.983999999999998</v>
      </c>
      <c r="I350" s="190">
        <v>2.1999999999999999E-2</v>
      </c>
      <c r="J350" s="276">
        <v>60</v>
      </c>
      <c r="K350" s="278">
        <f t="shared" ref="K350" si="267">I350*J350</f>
        <v>1.3199999999999998</v>
      </c>
      <c r="L350" s="278">
        <v>2.48</v>
      </c>
      <c r="M350" s="37">
        <f t="shared" ref="M350" si="268">+L350+K350</f>
        <v>3.8</v>
      </c>
      <c r="N350" s="38">
        <f t="shared" ref="N350" si="269">H350*M350</f>
        <v>64.539199999999994</v>
      </c>
      <c r="O350" s="7"/>
      <c r="P350" s="254">
        <f t="shared" si="246"/>
        <v>22.418879999999994</v>
      </c>
      <c r="Q350" s="255">
        <f t="shared" si="247"/>
        <v>42.120319999999992</v>
      </c>
      <c r="R350" s="7"/>
      <c r="S350" s="7"/>
      <c r="T350" s="7"/>
    </row>
    <row r="351" spans="1:20" ht="17.399999999999999" x14ac:dyDescent="0.25">
      <c r="A351" s="106" t="str">
        <f>IF(G351&lt;&gt;"",1+MAX($A$2:A350),"")</f>
        <v/>
      </c>
      <c r="B351" s="326"/>
      <c r="C351" s="33"/>
      <c r="D351" s="291" t="s">
        <v>415</v>
      </c>
      <c r="E351" s="289"/>
      <c r="F351" s="35"/>
      <c r="G351" s="34"/>
      <c r="H351" s="35"/>
      <c r="I351" s="188"/>
      <c r="J351" s="276"/>
      <c r="K351" s="278"/>
      <c r="L351" s="278"/>
      <c r="M351" s="37"/>
      <c r="N351" s="38"/>
      <c r="O351" s="7"/>
      <c r="P351" s="254">
        <f t="shared" si="246"/>
        <v>0</v>
      </c>
      <c r="Q351" s="255">
        <f t="shared" si="247"/>
        <v>0</v>
      </c>
      <c r="R351" s="7"/>
      <c r="S351" s="7"/>
      <c r="T351" s="7"/>
    </row>
    <row r="352" spans="1:20" ht="15.6" x14ac:dyDescent="0.25">
      <c r="A352" s="106" t="str">
        <f>IF(G352&lt;&gt;"",1+MAX($A$2:A351),"")</f>
        <v/>
      </c>
      <c r="B352" s="326"/>
      <c r="C352" s="277"/>
      <c r="D352" s="145" t="s">
        <v>411</v>
      </c>
      <c r="E352" s="290"/>
      <c r="F352" s="95"/>
      <c r="G352" s="34"/>
      <c r="H352" s="35"/>
      <c r="I352" s="188"/>
      <c r="J352" s="276"/>
      <c r="K352" s="278"/>
      <c r="L352" s="278"/>
      <c r="M352" s="37"/>
      <c r="N352" s="38"/>
      <c r="O352" s="7"/>
      <c r="P352" s="254">
        <f t="shared" si="246"/>
        <v>0</v>
      </c>
      <c r="Q352" s="255">
        <f t="shared" si="247"/>
        <v>0</v>
      </c>
      <c r="R352" s="7"/>
      <c r="S352" s="7"/>
      <c r="T352" s="7"/>
    </row>
    <row r="353" spans="1:20" ht="15.6" x14ac:dyDescent="0.25">
      <c r="A353" s="106">
        <f>IF(G353&lt;&gt;"",1+MAX($A$2:A352),"")</f>
        <v>206</v>
      </c>
      <c r="B353" s="326"/>
      <c r="C353" s="33"/>
      <c r="D353" s="24" t="s">
        <v>416</v>
      </c>
      <c r="E353" s="287" t="s">
        <v>27</v>
      </c>
      <c r="F353" s="35">
        <v>3</v>
      </c>
      <c r="G353" s="34">
        <v>0</v>
      </c>
      <c r="H353" s="35">
        <f t="shared" ref="H353" si="270">(G353*F353)+F353</f>
        <v>3</v>
      </c>
      <c r="I353" s="190">
        <v>0.66700000000000004</v>
      </c>
      <c r="J353" s="276">
        <v>60</v>
      </c>
      <c r="K353" s="59">
        <f t="shared" ref="K353" si="271">I353*J353</f>
        <v>40.020000000000003</v>
      </c>
      <c r="L353" s="36">
        <v>14.25</v>
      </c>
      <c r="M353" s="37">
        <f t="shared" ref="M353" si="272">+L353+K353</f>
        <v>54.27</v>
      </c>
      <c r="N353" s="38">
        <f>H353*M353</f>
        <v>162.81</v>
      </c>
      <c r="O353" s="7"/>
      <c r="P353" s="254">
        <f t="shared" si="246"/>
        <v>120.06</v>
      </c>
      <c r="Q353" s="255">
        <f t="shared" si="247"/>
        <v>42.75</v>
      </c>
      <c r="R353" s="7"/>
      <c r="S353" s="7"/>
      <c r="T353" s="7"/>
    </row>
    <row r="354" spans="1:20" ht="15.6" x14ac:dyDescent="0.25">
      <c r="A354" s="106" t="str">
        <f>IF(G354&lt;&gt;"",1+MAX($A$2:A353),"")</f>
        <v/>
      </c>
      <c r="B354" s="326"/>
      <c r="C354" s="33"/>
      <c r="D354" s="56" t="s">
        <v>417</v>
      </c>
      <c r="E354" s="123"/>
      <c r="F354" s="35"/>
      <c r="G354" s="34"/>
      <c r="H354" s="35"/>
      <c r="I354" s="188"/>
      <c r="J354" s="276"/>
      <c r="K354" s="278"/>
      <c r="L354" s="278"/>
      <c r="M354" s="37"/>
      <c r="N354" s="38"/>
      <c r="O354" s="7"/>
      <c r="P354" s="254">
        <f t="shared" si="246"/>
        <v>0</v>
      </c>
      <c r="Q354" s="255">
        <f t="shared" si="247"/>
        <v>0</v>
      </c>
      <c r="R354" s="7"/>
      <c r="S354" s="7"/>
      <c r="T354" s="7"/>
    </row>
    <row r="355" spans="1:20" ht="17.399999999999999" x14ac:dyDescent="0.25">
      <c r="A355" s="106" t="str">
        <f>IF(G355&lt;&gt;"",1+MAX($A$2:A354),"")</f>
        <v/>
      </c>
      <c r="B355" s="326"/>
      <c r="C355" s="169" t="s">
        <v>406</v>
      </c>
      <c r="D355" s="285" t="s">
        <v>418</v>
      </c>
      <c r="E355" s="286"/>
      <c r="F355" s="95"/>
      <c r="G355" s="34"/>
      <c r="H355" s="35"/>
      <c r="I355" s="188"/>
      <c r="J355" s="276"/>
      <c r="K355" s="278"/>
      <c r="L355" s="278"/>
      <c r="M355" s="37"/>
      <c r="N355" s="38"/>
      <c r="O355" s="7"/>
      <c r="P355" s="254">
        <f t="shared" si="246"/>
        <v>0</v>
      </c>
      <c r="Q355" s="255">
        <f t="shared" si="247"/>
        <v>0</v>
      </c>
      <c r="R355" s="7"/>
      <c r="S355" s="7"/>
      <c r="T355" s="7"/>
    </row>
    <row r="356" spans="1:20" ht="15.6" x14ac:dyDescent="0.25">
      <c r="A356" s="106">
        <f>IF(G356&lt;&gt;"",1+MAX($A$2:A355),"")</f>
        <v>207</v>
      </c>
      <c r="B356" s="326"/>
      <c r="C356" s="33"/>
      <c r="D356" s="24" t="s">
        <v>419</v>
      </c>
      <c r="E356" s="287" t="s">
        <v>29</v>
      </c>
      <c r="F356" s="35">
        <v>5.95</v>
      </c>
      <c r="G356" s="34">
        <v>0.1</v>
      </c>
      <c r="H356" s="35">
        <f t="shared" ref="H356" si="273">(G356*F356)+F356</f>
        <v>6.5449999999999999</v>
      </c>
      <c r="I356" s="190">
        <v>0.27100000000000002</v>
      </c>
      <c r="J356" s="276">
        <v>60</v>
      </c>
      <c r="K356" s="59">
        <f t="shared" ref="K356" si="274">I356*J356</f>
        <v>16.260000000000002</v>
      </c>
      <c r="L356" s="36">
        <v>9.15</v>
      </c>
      <c r="M356" s="37">
        <f t="shared" ref="M356" si="275">+L356+K356</f>
        <v>25.410000000000004</v>
      </c>
      <c r="N356" s="38">
        <f t="shared" ref="N356" si="276">H356*M356</f>
        <v>166.30845000000002</v>
      </c>
      <c r="O356" s="7"/>
      <c r="P356" s="254">
        <f t="shared" si="246"/>
        <v>106.42170000000002</v>
      </c>
      <c r="Q356" s="255">
        <f t="shared" si="247"/>
        <v>59.886749999999999</v>
      </c>
      <c r="R356" s="7"/>
      <c r="S356" s="7"/>
      <c r="T356" s="7"/>
    </row>
    <row r="357" spans="1:20" ht="17.399999999999999" x14ac:dyDescent="0.25">
      <c r="A357" s="106" t="str">
        <f>IF(G357&lt;&gt;"",1+MAX($A$2:A356),"")</f>
        <v/>
      </c>
      <c r="B357" s="326"/>
      <c r="C357" s="33"/>
      <c r="D357" s="291" t="s">
        <v>420</v>
      </c>
      <c r="E357" s="289"/>
      <c r="F357" s="35"/>
      <c r="G357" s="34"/>
      <c r="H357" s="35"/>
      <c r="I357" s="188"/>
      <c r="J357" s="276"/>
      <c r="K357" s="278"/>
      <c r="L357" s="278"/>
      <c r="M357" s="37"/>
      <c r="N357" s="38"/>
      <c r="O357" s="7"/>
      <c r="P357" s="254">
        <f t="shared" si="246"/>
        <v>0</v>
      </c>
      <c r="Q357" s="255">
        <f t="shared" si="247"/>
        <v>0</v>
      </c>
      <c r="R357" s="7"/>
      <c r="S357" s="7"/>
      <c r="T357" s="7"/>
    </row>
    <row r="358" spans="1:20" ht="15.6" x14ac:dyDescent="0.25">
      <c r="A358" s="106" t="str">
        <f>IF(G358&lt;&gt;"",1+MAX($A$2:A357),"")</f>
        <v/>
      </c>
      <c r="B358" s="326"/>
      <c r="C358" s="277"/>
      <c r="D358" s="145" t="s">
        <v>411</v>
      </c>
      <c r="E358" s="290"/>
      <c r="F358" s="95"/>
      <c r="G358" s="34"/>
      <c r="H358" s="35"/>
      <c r="I358" s="188"/>
      <c r="J358" s="276"/>
      <c r="K358" s="278"/>
      <c r="L358" s="278"/>
      <c r="M358" s="37"/>
      <c r="N358" s="38"/>
      <c r="O358" s="7"/>
      <c r="P358" s="254">
        <f t="shared" si="246"/>
        <v>0</v>
      </c>
      <c r="Q358" s="255">
        <f t="shared" si="247"/>
        <v>0</v>
      </c>
      <c r="R358" s="7"/>
      <c r="S358" s="7"/>
      <c r="T358" s="7"/>
    </row>
    <row r="359" spans="1:20" ht="15.6" x14ac:dyDescent="0.25">
      <c r="A359" s="106">
        <f>IF(G359&lt;&gt;"",1+MAX($A$2:A358),"")</f>
        <v>208</v>
      </c>
      <c r="B359" s="326"/>
      <c r="C359" s="33"/>
      <c r="D359" s="24" t="s">
        <v>421</v>
      </c>
      <c r="E359" s="287" t="s">
        <v>27</v>
      </c>
      <c r="F359" s="35">
        <v>1</v>
      </c>
      <c r="G359" s="34">
        <v>0</v>
      </c>
      <c r="H359" s="35">
        <f t="shared" ref="H359:H360" si="277">(G359*F359)+F359</f>
        <v>1</v>
      </c>
      <c r="I359" s="190">
        <v>0.44</v>
      </c>
      <c r="J359" s="276">
        <v>60</v>
      </c>
      <c r="K359" s="59">
        <f t="shared" ref="K359:K362" si="278">I359*J359</f>
        <v>26.4</v>
      </c>
      <c r="L359" s="36">
        <v>2.8</v>
      </c>
      <c r="M359" s="37">
        <f t="shared" ref="M359:M360" si="279">+L359+K359</f>
        <v>29.2</v>
      </c>
      <c r="N359" s="38">
        <f>H359*M359</f>
        <v>29.2</v>
      </c>
      <c r="O359" s="7"/>
      <c r="P359" s="254">
        <f t="shared" si="246"/>
        <v>26.4</v>
      </c>
      <c r="Q359" s="255">
        <f t="shared" si="247"/>
        <v>2.8</v>
      </c>
      <c r="R359" s="7"/>
      <c r="S359" s="7"/>
      <c r="T359" s="7"/>
    </row>
    <row r="360" spans="1:20" ht="15.6" x14ac:dyDescent="0.25">
      <c r="A360" s="106">
        <f>IF(G360&lt;&gt;"",1+MAX($A$2:A359),"")</f>
        <v>209</v>
      </c>
      <c r="B360" s="326"/>
      <c r="C360" s="33"/>
      <c r="D360" s="24" t="s">
        <v>422</v>
      </c>
      <c r="E360" s="287" t="s">
        <v>27</v>
      </c>
      <c r="F360" s="35">
        <v>1</v>
      </c>
      <c r="G360" s="34">
        <v>0</v>
      </c>
      <c r="H360" s="35">
        <f t="shared" si="277"/>
        <v>1</v>
      </c>
      <c r="I360" s="190">
        <v>0.44</v>
      </c>
      <c r="J360" s="276">
        <v>60</v>
      </c>
      <c r="K360" s="59">
        <f t="shared" si="278"/>
        <v>26.4</v>
      </c>
      <c r="L360" s="36">
        <v>3.08</v>
      </c>
      <c r="M360" s="37">
        <f t="shared" si="279"/>
        <v>29.479999999999997</v>
      </c>
      <c r="N360" s="38">
        <f>H360*M360</f>
        <v>29.479999999999997</v>
      </c>
      <c r="O360" s="7"/>
      <c r="P360" s="254">
        <f t="shared" si="246"/>
        <v>26.4</v>
      </c>
      <c r="Q360" s="255">
        <f t="shared" si="247"/>
        <v>3.08</v>
      </c>
      <c r="R360" s="7"/>
      <c r="S360" s="7"/>
      <c r="T360" s="7"/>
    </row>
    <row r="361" spans="1:20" ht="15.6" x14ac:dyDescent="0.25">
      <c r="A361" s="106" t="str">
        <f>IF(G361&lt;&gt;"",1+MAX($A$2:A360),"")</f>
        <v/>
      </c>
      <c r="B361" s="326"/>
      <c r="C361" s="277"/>
      <c r="D361" s="145" t="s">
        <v>423</v>
      </c>
      <c r="E361" s="290"/>
      <c r="F361" s="95"/>
      <c r="G361" s="34"/>
      <c r="H361" s="35"/>
      <c r="I361" s="188"/>
      <c r="J361" s="276"/>
      <c r="K361" s="278"/>
      <c r="L361" s="278"/>
      <c r="M361" s="37"/>
      <c r="N361" s="38"/>
      <c r="O361" s="7"/>
      <c r="P361" s="254">
        <f t="shared" si="246"/>
        <v>0</v>
      </c>
      <c r="Q361" s="255">
        <f t="shared" si="247"/>
        <v>0</v>
      </c>
      <c r="R361" s="7"/>
      <c r="S361" s="7"/>
      <c r="T361" s="7"/>
    </row>
    <row r="362" spans="1:20" ht="15.6" x14ac:dyDescent="0.25">
      <c r="A362" s="106">
        <f>IF(G362&lt;&gt;"",1+MAX($A$2:A361),"")</f>
        <v>210</v>
      </c>
      <c r="B362" s="326"/>
      <c r="C362" s="33"/>
      <c r="D362" s="24" t="s">
        <v>424</v>
      </c>
      <c r="E362" s="287" t="s">
        <v>27</v>
      </c>
      <c r="F362" s="35">
        <v>1</v>
      </c>
      <c r="G362" s="34">
        <v>0</v>
      </c>
      <c r="H362" s="35">
        <f t="shared" ref="H362" si="280">(G362*F362)+F362</f>
        <v>1</v>
      </c>
      <c r="I362" s="190">
        <v>0.66100000000000003</v>
      </c>
      <c r="J362" s="276">
        <v>60</v>
      </c>
      <c r="K362" s="59">
        <f t="shared" si="278"/>
        <v>39.660000000000004</v>
      </c>
      <c r="L362" s="36">
        <v>3.52</v>
      </c>
      <c r="M362" s="37">
        <f t="shared" ref="M362" si="281">+L362+K362</f>
        <v>43.180000000000007</v>
      </c>
      <c r="N362" s="38">
        <f>H362*M362</f>
        <v>43.180000000000007</v>
      </c>
      <c r="O362" s="7"/>
      <c r="P362" s="254">
        <f t="shared" si="246"/>
        <v>39.660000000000004</v>
      </c>
      <c r="Q362" s="255">
        <f t="shared" si="247"/>
        <v>3.52</v>
      </c>
      <c r="R362" s="7"/>
      <c r="S362" s="7"/>
      <c r="T362" s="7"/>
    </row>
    <row r="363" spans="1:20" ht="15.6" x14ac:dyDescent="0.25">
      <c r="A363" s="106" t="str">
        <f>IF(G363&lt;&gt;"",1+MAX($A$2:A362),"")</f>
        <v/>
      </c>
      <c r="B363" s="326"/>
      <c r="C363" s="33"/>
      <c r="D363" s="56" t="s">
        <v>425</v>
      </c>
      <c r="E363" s="123"/>
      <c r="F363" s="35"/>
      <c r="G363" s="34"/>
      <c r="H363" s="35"/>
      <c r="I363" s="188"/>
      <c r="J363" s="276"/>
      <c r="K363" s="278"/>
      <c r="L363" s="278"/>
      <c r="M363" s="37"/>
      <c r="N363" s="38"/>
      <c r="O363" s="7"/>
      <c r="P363" s="254">
        <f t="shared" si="246"/>
        <v>0</v>
      </c>
      <c r="Q363" s="255">
        <f t="shared" si="247"/>
        <v>0</v>
      </c>
      <c r="R363" s="7"/>
      <c r="S363" s="7"/>
      <c r="T363" s="7"/>
    </row>
    <row r="364" spans="1:20" ht="17.399999999999999" x14ac:dyDescent="0.25">
      <c r="A364" s="106" t="str">
        <f>IF(G364&lt;&gt;"",1+MAX($A$2:A363),"")</f>
        <v/>
      </c>
      <c r="B364" s="326"/>
      <c r="C364" s="169" t="s">
        <v>406</v>
      </c>
      <c r="D364" s="285" t="s">
        <v>418</v>
      </c>
      <c r="E364" s="286"/>
      <c r="F364" s="95"/>
      <c r="G364" s="34"/>
      <c r="H364" s="35"/>
      <c r="I364" s="188"/>
      <c r="J364" s="276"/>
      <c r="K364" s="278"/>
      <c r="L364" s="278"/>
      <c r="M364" s="37"/>
      <c r="N364" s="38"/>
      <c r="O364" s="7"/>
      <c r="P364" s="254">
        <f t="shared" si="246"/>
        <v>0</v>
      </c>
      <c r="Q364" s="255">
        <f t="shared" si="247"/>
        <v>0</v>
      </c>
      <c r="R364" s="7"/>
      <c r="S364" s="7"/>
      <c r="T364" s="7"/>
    </row>
    <row r="365" spans="1:20" ht="15.6" x14ac:dyDescent="0.25">
      <c r="A365" s="106">
        <f>IF(G365&lt;&gt;"",1+MAX($A$2:A364),"")</f>
        <v>211</v>
      </c>
      <c r="B365" s="326"/>
      <c r="C365" s="33"/>
      <c r="D365" s="24" t="s">
        <v>426</v>
      </c>
      <c r="E365" s="287" t="s">
        <v>29</v>
      </c>
      <c r="F365" s="35">
        <v>14.38</v>
      </c>
      <c r="G365" s="34">
        <v>0.1</v>
      </c>
      <c r="H365" s="35">
        <f t="shared" ref="H365" si="282">(G365*F365)+F365</f>
        <v>15.818000000000001</v>
      </c>
      <c r="I365" s="190">
        <v>0.27100000000000002</v>
      </c>
      <c r="J365" s="276">
        <v>60</v>
      </c>
      <c r="K365" s="59">
        <f t="shared" ref="K365" si="283">I365*J365</f>
        <v>16.260000000000002</v>
      </c>
      <c r="L365" s="36">
        <v>9.15</v>
      </c>
      <c r="M365" s="37">
        <f t="shared" ref="M365" si="284">+L365+K365</f>
        <v>25.410000000000004</v>
      </c>
      <c r="N365" s="38">
        <f t="shared" ref="N365" si="285">H365*M365</f>
        <v>401.93538000000007</v>
      </c>
      <c r="O365" s="7"/>
      <c r="P365" s="254">
        <f t="shared" si="246"/>
        <v>257.20068000000003</v>
      </c>
      <c r="Q365" s="255">
        <f t="shared" si="247"/>
        <v>144.73470000000003</v>
      </c>
      <c r="R365" s="7"/>
      <c r="S365" s="7"/>
      <c r="T365" s="7"/>
    </row>
    <row r="366" spans="1:20" ht="17.399999999999999" x14ac:dyDescent="0.25">
      <c r="A366" s="106" t="str">
        <f>IF(G366&lt;&gt;"",1+MAX($A$2:A365),"")</f>
        <v/>
      </c>
      <c r="B366" s="326"/>
      <c r="C366" s="33"/>
      <c r="D366" s="291" t="s">
        <v>427</v>
      </c>
      <c r="E366" s="289"/>
      <c r="F366" s="35"/>
      <c r="G366" s="34"/>
      <c r="H366" s="35"/>
      <c r="I366" s="188"/>
      <c r="J366" s="276"/>
      <c r="K366" s="278"/>
      <c r="L366" s="278"/>
      <c r="M366" s="37"/>
      <c r="N366" s="38"/>
      <c r="O366" s="7"/>
      <c r="P366" s="254">
        <f t="shared" si="246"/>
        <v>0</v>
      </c>
      <c r="Q366" s="255">
        <f t="shared" si="247"/>
        <v>0</v>
      </c>
      <c r="R366" s="7"/>
      <c r="S366" s="7"/>
      <c r="T366" s="7"/>
    </row>
    <row r="367" spans="1:20" ht="15.6" x14ac:dyDescent="0.25">
      <c r="A367" s="106" t="str">
        <f>IF(G367&lt;&gt;"",1+MAX($A$2:A366),"")</f>
        <v/>
      </c>
      <c r="B367" s="326"/>
      <c r="C367" s="277"/>
      <c r="D367" s="145" t="s">
        <v>411</v>
      </c>
      <c r="E367" s="290"/>
      <c r="F367" s="95"/>
      <c r="G367" s="34"/>
      <c r="H367" s="35"/>
      <c r="I367" s="188"/>
      <c r="J367" s="276"/>
      <c r="K367" s="278"/>
      <c r="L367" s="278"/>
      <c r="M367" s="37"/>
      <c r="N367" s="38"/>
      <c r="O367" s="7"/>
      <c r="P367" s="254">
        <f t="shared" si="246"/>
        <v>0</v>
      </c>
      <c r="Q367" s="255">
        <f t="shared" si="247"/>
        <v>0</v>
      </c>
      <c r="R367" s="7"/>
      <c r="S367" s="7"/>
      <c r="T367" s="7"/>
    </row>
    <row r="368" spans="1:20" ht="15.6" x14ac:dyDescent="0.25">
      <c r="A368" s="106">
        <f>IF(G368&lt;&gt;"",1+MAX($A$2:A367),"")</f>
        <v>212</v>
      </c>
      <c r="B368" s="326"/>
      <c r="C368" s="33"/>
      <c r="D368" s="24" t="s">
        <v>428</v>
      </c>
      <c r="E368" s="287" t="s">
        <v>27</v>
      </c>
      <c r="F368" s="35">
        <v>2</v>
      </c>
      <c r="G368" s="34">
        <v>0</v>
      </c>
      <c r="H368" s="35">
        <f t="shared" ref="H368" si="286">(G368*F368)+F368</f>
        <v>2</v>
      </c>
      <c r="I368" s="190">
        <v>0.44</v>
      </c>
      <c r="J368" s="276">
        <v>60</v>
      </c>
      <c r="K368" s="59">
        <f t="shared" ref="K368" si="287">I368*J368</f>
        <v>26.4</v>
      </c>
      <c r="L368" s="36">
        <v>2.8</v>
      </c>
      <c r="M368" s="37">
        <f t="shared" ref="M368" si="288">+L368+K368</f>
        <v>29.2</v>
      </c>
      <c r="N368" s="38">
        <f>H368*M368</f>
        <v>58.4</v>
      </c>
      <c r="O368" s="7"/>
      <c r="P368" s="254">
        <f t="shared" si="246"/>
        <v>52.8</v>
      </c>
      <c r="Q368" s="255">
        <f t="shared" si="247"/>
        <v>5.6</v>
      </c>
      <c r="R368" s="7"/>
      <c r="S368" s="7"/>
      <c r="T368" s="7"/>
    </row>
    <row r="369" spans="1:20" ht="18" customHeight="1" x14ac:dyDescent="0.25">
      <c r="A369" s="106" t="str">
        <f>IF(G369&lt;&gt;"",1+MAX($A$2:A368),"")</f>
        <v/>
      </c>
      <c r="B369" s="326"/>
      <c r="C369" s="277"/>
      <c r="D369" s="56" t="s">
        <v>429</v>
      </c>
      <c r="E369" s="123"/>
      <c r="F369" s="95"/>
      <c r="G369" s="34"/>
      <c r="H369" s="35"/>
      <c r="I369" s="188"/>
      <c r="J369" s="276"/>
      <c r="K369" s="278"/>
      <c r="L369" s="278"/>
      <c r="M369" s="37"/>
      <c r="N369" s="38"/>
      <c r="O369" s="7"/>
      <c r="P369" s="254">
        <f t="shared" si="246"/>
        <v>0</v>
      </c>
      <c r="Q369" s="255">
        <f t="shared" si="247"/>
        <v>0</v>
      </c>
      <c r="R369" s="7"/>
      <c r="S369" s="7"/>
      <c r="T369" s="7"/>
    </row>
    <row r="370" spans="1:20" ht="78" x14ac:dyDescent="0.25">
      <c r="A370" s="106">
        <f>IF(G370&lt;&gt;"",1+MAX($A$2:A369),"")</f>
        <v>213</v>
      </c>
      <c r="B370" s="326"/>
      <c r="C370" s="33"/>
      <c r="D370" s="159" t="s">
        <v>430</v>
      </c>
      <c r="E370" s="287" t="s">
        <v>27</v>
      </c>
      <c r="F370" s="35">
        <v>1</v>
      </c>
      <c r="G370" s="34">
        <v>0</v>
      </c>
      <c r="H370" s="35">
        <f t="shared" ref="H370" si="289">(G370*F370)+F370</f>
        <v>1</v>
      </c>
      <c r="I370" s="190">
        <v>3.48</v>
      </c>
      <c r="J370" s="276">
        <v>60</v>
      </c>
      <c r="K370" s="278">
        <f t="shared" ref="K370" si="290">I370*J370</f>
        <v>208.8</v>
      </c>
      <c r="L370" s="278">
        <f>1675+616.4+122+78+55+22</f>
        <v>2568.4</v>
      </c>
      <c r="M370" s="37">
        <f t="shared" ref="M370" si="291">+L370+K370</f>
        <v>2777.2000000000003</v>
      </c>
      <c r="N370" s="38">
        <f t="shared" ref="N370" si="292">H370*M370</f>
        <v>2777.2000000000003</v>
      </c>
      <c r="O370" s="7"/>
      <c r="P370" s="254">
        <f t="shared" si="246"/>
        <v>208.8</v>
      </c>
      <c r="Q370" s="255">
        <f t="shared" si="247"/>
        <v>2568.4</v>
      </c>
      <c r="R370" s="7"/>
      <c r="S370" s="7"/>
      <c r="T370" s="7"/>
    </row>
    <row r="371" spans="1:20" ht="18" customHeight="1" x14ac:dyDescent="0.3">
      <c r="A371" s="292" t="str">
        <f>IF(G371&lt;&gt;"",1+MAX($A$2:A370),"")</f>
        <v/>
      </c>
      <c r="B371" s="326"/>
      <c r="C371" s="293"/>
      <c r="D371" s="56" t="s">
        <v>431</v>
      </c>
      <c r="E371" s="123"/>
      <c r="F371" s="294"/>
      <c r="G371" s="64"/>
      <c r="H371" s="35"/>
      <c r="I371" s="191"/>
      <c r="J371" s="276"/>
      <c r="K371" s="295"/>
      <c r="L371" s="59"/>
      <c r="M371" s="37"/>
      <c r="N371" s="39"/>
      <c r="O371" s="7"/>
      <c r="P371" s="254">
        <f t="shared" si="246"/>
        <v>0</v>
      </c>
      <c r="Q371" s="255">
        <f t="shared" si="247"/>
        <v>0</v>
      </c>
      <c r="R371" s="7"/>
      <c r="S371" s="7"/>
      <c r="T371" s="7"/>
    </row>
    <row r="372" spans="1:20" ht="18" customHeight="1" x14ac:dyDescent="0.25">
      <c r="A372" s="31" t="str">
        <f>IF(G372&lt;&gt;"",1+MAX($A$2:A371),"")</f>
        <v/>
      </c>
      <c r="B372" s="326"/>
      <c r="C372" s="296"/>
      <c r="D372" s="145" t="s">
        <v>432</v>
      </c>
      <c r="E372" s="70"/>
      <c r="F372" s="35"/>
      <c r="G372" s="34"/>
      <c r="H372" s="35"/>
      <c r="I372" s="188"/>
      <c r="J372" s="276"/>
      <c r="K372" s="278"/>
      <c r="L372" s="36"/>
      <c r="M372" s="37"/>
      <c r="N372" s="39"/>
      <c r="O372" s="7"/>
      <c r="P372" s="254">
        <f t="shared" si="246"/>
        <v>0</v>
      </c>
      <c r="Q372" s="255">
        <f t="shared" si="247"/>
        <v>0</v>
      </c>
      <c r="R372" s="7"/>
      <c r="S372" s="7"/>
      <c r="T372" s="7"/>
    </row>
    <row r="373" spans="1:20" ht="18" customHeight="1" x14ac:dyDescent="0.25">
      <c r="A373" s="106">
        <f>IF(G373&lt;&gt;"",1+MAX($A$2:A372),"")</f>
        <v>214</v>
      </c>
      <c r="B373" s="326"/>
      <c r="C373" s="33"/>
      <c r="D373" s="24" t="s">
        <v>433</v>
      </c>
      <c r="E373" s="279" t="s">
        <v>27</v>
      </c>
      <c r="F373" s="35">
        <v>1</v>
      </c>
      <c r="G373" s="34">
        <v>0</v>
      </c>
      <c r="H373" s="35">
        <f t="shared" ref="H373" si="293">(G373*F373)+F373</f>
        <v>1</v>
      </c>
      <c r="I373" s="190"/>
      <c r="J373" s="276"/>
      <c r="K373" s="278"/>
      <c r="L373" s="278"/>
      <c r="M373" s="37"/>
      <c r="N373" s="38"/>
      <c r="O373" s="7"/>
      <c r="P373" s="254">
        <f t="shared" si="246"/>
        <v>0</v>
      </c>
      <c r="Q373" s="255">
        <f t="shared" si="247"/>
        <v>0</v>
      </c>
      <c r="R373" s="7"/>
      <c r="S373" s="7"/>
      <c r="T373" s="7"/>
    </row>
    <row r="374" spans="1:20" ht="18" customHeight="1" x14ac:dyDescent="0.25">
      <c r="A374" s="31" t="str">
        <f>IF(G374&lt;&gt;"",1+MAX($A$2:A373),"")</f>
        <v/>
      </c>
      <c r="B374" s="326"/>
      <c r="C374" s="296"/>
      <c r="D374" s="145" t="s">
        <v>434</v>
      </c>
      <c r="E374" s="70"/>
      <c r="F374" s="35"/>
      <c r="G374" s="34"/>
      <c r="H374" s="35"/>
      <c r="I374" s="188"/>
      <c r="J374" s="276"/>
      <c r="K374" s="278"/>
      <c r="L374" s="36"/>
      <c r="M374" s="37"/>
      <c r="N374" s="39"/>
      <c r="O374" s="7"/>
      <c r="P374" s="254">
        <f t="shared" si="246"/>
        <v>0</v>
      </c>
      <c r="Q374" s="255">
        <f t="shared" si="247"/>
        <v>0</v>
      </c>
      <c r="R374" s="7"/>
      <c r="S374" s="7"/>
      <c r="T374" s="7"/>
    </row>
    <row r="375" spans="1:20" ht="18" customHeight="1" x14ac:dyDescent="0.25">
      <c r="A375" s="31">
        <f>IF(G375&lt;&gt;"",1+MAX($A$2:A374),"")</f>
        <v>215</v>
      </c>
      <c r="B375" s="326"/>
      <c r="C375" s="296"/>
      <c r="D375" s="24" t="s">
        <v>435</v>
      </c>
      <c r="E375" s="279" t="s">
        <v>27</v>
      </c>
      <c r="F375" s="35">
        <v>4</v>
      </c>
      <c r="G375" s="34">
        <v>0</v>
      </c>
      <c r="H375" s="35">
        <f t="shared" ref="H375:H378" si="294">(G375*F375)+F375</f>
        <v>4</v>
      </c>
      <c r="I375" s="190"/>
      <c r="J375" s="276"/>
      <c r="K375" s="278"/>
      <c r="L375" s="278"/>
      <c r="M375" s="37"/>
      <c r="N375" s="38"/>
      <c r="O375" s="7"/>
      <c r="P375" s="254">
        <f t="shared" si="246"/>
        <v>0</v>
      </c>
      <c r="Q375" s="255">
        <f t="shared" si="247"/>
        <v>0</v>
      </c>
      <c r="R375" s="7"/>
      <c r="S375" s="7"/>
      <c r="T375" s="7"/>
    </row>
    <row r="376" spans="1:20" ht="18" customHeight="1" x14ac:dyDescent="0.25">
      <c r="A376" s="31">
        <f>IF(G376&lt;&gt;"",1+MAX($A$2:A375),"")</f>
        <v>216</v>
      </c>
      <c r="B376" s="326"/>
      <c r="C376" s="296"/>
      <c r="D376" s="24" t="s">
        <v>436</v>
      </c>
      <c r="E376" s="279" t="s">
        <v>27</v>
      </c>
      <c r="F376" s="35">
        <v>1</v>
      </c>
      <c r="G376" s="34">
        <v>0</v>
      </c>
      <c r="H376" s="35">
        <f t="shared" si="294"/>
        <v>1</v>
      </c>
      <c r="I376" s="190"/>
      <c r="J376" s="276"/>
      <c r="K376" s="278"/>
      <c r="L376" s="278"/>
      <c r="M376" s="37"/>
      <c r="N376" s="38"/>
      <c r="O376" s="7"/>
      <c r="P376" s="254">
        <f t="shared" si="246"/>
        <v>0</v>
      </c>
      <c r="Q376" s="255">
        <f t="shared" si="247"/>
        <v>0</v>
      </c>
      <c r="R376" s="7"/>
      <c r="S376" s="7"/>
      <c r="T376" s="7"/>
    </row>
    <row r="377" spans="1:20" ht="18" customHeight="1" x14ac:dyDescent="0.25">
      <c r="A377" s="31">
        <f>IF(G377&lt;&gt;"",1+MAX($A$2:A376),"")</f>
        <v>217</v>
      </c>
      <c r="B377" s="326"/>
      <c r="C377" s="296"/>
      <c r="D377" s="24" t="s">
        <v>437</v>
      </c>
      <c r="E377" s="279" t="s">
        <v>27</v>
      </c>
      <c r="F377" s="35">
        <v>4</v>
      </c>
      <c r="G377" s="34">
        <v>0</v>
      </c>
      <c r="H377" s="35">
        <f t="shared" si="294"/>
        <v>4</v>
      </c>
      <c r="I377" s="190">
        <v>0.15</v>
      </c>
      <c r="J377" s="276">
        <v>60</v>
      </c>
      <c r="K377" s="278">
        <f t="shared" ref="K377:K378" si="295">I377*J377</f>
        <v>9</v>
      </c>
      <c r="L377" s="278">
        <v>11.85</v>
      </c>
      <c r="M377" s="37">
        <f t="shared" ref="M377:M378" si="296">+L377+K377</f>
        <v>20.85</v>
      </c>
      <c r="N377" s="38">
        <f t="shared" ref="N377:N378" si="297">H377*M377</f>
        <v>83.4</v>
      </c>
      <c r="O377" s="7"/>
      <c r="P377" s="254">
        <f t="shared" si="246"/>
        <v>36</v>
      </c>
      <c r="Q377" s="255">
        <f t="shared" si="247"/>
        <v>47.4</v>
      </c>
      <c r="R377" s="7"/>
      <c r="S377" s="7"/>
      <c r="T377" s="7"/>
    </row>
    <row r="378" spans="1:20" ht="18" customHeight="1" x14ac:dyDescent="0.25">
      <c r="A378" s="31">
        <f>IF(G378&lt;&gt;"",1+MAX($A$2:A377),"")</f>
        <v>218</v>
      </c>
      <c r="B378" s="326"/>
      <c r="C378" s="296"/>
      <c r="D378" s="24" t="s">
        <v>438</v>
      </c>
      <c r="E378" s="279" t="s">
        <v>27</v>
      </c>
      <c r="F378" s="35">
        <v>1</v>
      </c>
      <c r="G378" s="34">
        <v>0</v>
      </c>
      <c r="H378" s="35">
        <f t="shared" si="294"/>
        <v>1</v>
      </c>
      <c r="I378" s="190">
        <v>0.185</v>
      </c>
      <c r="J378" s="276">
        <v>60</v>
      </c>
      <c r="K378" s="278">
        <f t="shared" si="295"/>
        <v>11.1</v>
      </c>
      <c r="L378" s="278">
        <v>15.25</v>
      </c>
      <c r="M378" s="37">
        <f t="shared" si="296"/>
        <v>26.35</v>
      </c>
      <c r="N378" s="38">
        <f t="shared" si="297"/>
        <v>26.35</v>
      </c>
      <c r="O378" s="7"/>
      <c r="P378" s="254">
        <f t="shared" si="246"/>
        <v>11.1</v>
      </c>
      <c r="Q378" s="255">
        <f t="shared" si="247"/>
        <v>15.25</v>
      </c>
      <c r="R378" s="7"/>
      <c r="S378" s="7"/>
      <c r="T378" s="7"/>
    </row>
    <row r="379" spans="1:20" ht="18" customHeight="1" x14ac:dyDescent="0.25">
      <c r="A379" s="31" t="str">
        <f>IF(G379&lt;&gt;"",1+MAX($A$2:A378),"")</f>
        <v/>
      </c>
      <c r="B379" s="326"/>
      <c r="C379" s="296"/>
      <c r="D379" s="145" t="s">
        <v>439</v>
      </c>
      <c r="E379" s="70"/>
      <c r="F379" s="35"/>
      <c r="G379" s="34"/>
      <c r="H379" s="35"/>
      <c r="I379" s="188"/>
      <c r="J379" s="276"/>
      <c r="K379" s="278"/>
      <c r="L379" s="36"/>
      <c r="M379" s="37"/>
      <c r="N379" s="39"/>
      <c r="O379" s="7"/>
      <c r="P379" s="254">
        <f t="shared" si="246"/>
        <v>0</v>
      </c>
      <c r="Q379" s="255">
        <f t="shared" si="247"/>
        <v>0</v>
      </c>
      <c r="R379" s="7"/>
      <c r="S379" s="7"/>
      <c r="T379" s="7"/>
    </row>
    <row r="380" spans="1:20" ht="31.2" x14ac:dyDescent="0.25">
      <c r="A380" s="31">
        <f>IF(G380&lt;&gt;"",1+MAX($A$2:A379),"")</f>
        <v>219</v>
      </c>
      <c r="B380" s="327"/>
      <c r="C380" s="296"/>
      <c r="D380" s="159" t="s">
        <v>440</v>
      </c>
      <c r="E380" s="279" t="s">
        <v>441</v>
      </c>
      <c r="F380" s="35">
        <f>3*1*5.95</f>
        <v>17.850000000000001</v>
      </c>
      <c r="G380" s="34">
        <v>0</v>
      </c>
      <c r="H380" s="35">
        <f t="shared" ref="H380" si="298">(G380*F380)+F380</f>
        <v>17.850000000000001</v>
      </c>
      <c r="I380" s="190">
        <v>6.7000000000000004E-2</v>
      </c>
      <c r="J380" s="276">
        <v>60</v>
      </c>
      <c r="K380" s="278">
        <f t="shared" ref="K380" si="299">I380*J380</f>
        <v>4.0200000000000005</v>
      </c>
      <c r="L380" s="278">
        <v>0</v>
      </c>
      <c r="M380" s="37">
        <f>+L380+K380</f>
        <v>4.0200000000000005</v>
      </c>
      <c r="N380" s="38">
        <f>H380*M380</f>
        <v>71.757000000000019</v>
      </c>
      <c r="O380" s="7"/>
      <c r="P380" s="254">
        <f t="shared" si="246"/>
        <v>71.757000000000019</v>
      </c>
      <c r="Q380" s="255">
        <f t="shared" si="247"/>
        <v>0</v>
      </c>
      <c r="R380" s="7"/>
      <c r="S380" s="7"/>
      <c r="T380" s="7"/>
    </row>
    <row r="381" spans="1:20" s="1" customFormat="1" ht="18" customHeight="1" x14ac:dyDescent="0.25">
      <c r="A381" s="40" t="str">
        <f>IF(G381&lt;&gt;"",1+MAX($A$2:A380),"")</f>
        <v/>
      </c>
      <c r="B381" s="41"/>
      <c r="C381" s="41"/>
      <c r="D381" s="280"/>
      <c r="E381" s="281"/>
      <c r="F381" s="282"/>
      <c r="G381" s="41"/>
      <c r="H381" s="41"/>
      <c r="I381" s="245"/>
      <c r="J381" s="41"/>
      <c r="K381" s="42"/>
      <c r="L381" s="42"/>
      <c r="M381" s="43" t="s">
        <v>19</v>
      </c>
      <c r="N381" s="283">
        <f>SUM(N340:N380)</f>
        <v>4507.62183</v>
      </c>
      <c r="P381" s="254">
        <f t="shared" si="246"/>
        <v>0</v>
      </c>
      <c r="Q381" s="255">
        <f t="shared" si="247"/>
        <v>0</v>
      </c>
    </row>
    <row r="382" spans="1:20" ht="15.6" x14ac:dyDescent="0.25">
      <c r="A382" s="71" t="str">
        <f>IF(G382&lt;&gt;"",1+MAX($A$2:A381),"")</f>
        <v/>
      </c>
      <c r="B382" s="72"/>
      <c r="C382" s="72"/>
      <c r="D382" s="72"/>
      <c r="E382" s="73"/>
      <c r="F382" s="137"/>
      <c r="G382" s="74"/>
      <c r="H382" s="137"/>
      <c r="I382" s="138"/>
      <c r="J382" s="137"/>
      <c r="K382" s="75"/>
      <c r="L382" s="75"/>
      <c r="M382" s="139"/>
      <c r="N382" s="76"/>
      <c r="O382" s="7"/>
      <c r="P382" s="254">
        <f t="shared" si="246"/>
        <v>0</v>
      </c>
      <c r="Q382" s="255">
        <f t="shared" si="247"/>
        <v>0</v>
      </c>
      <c r="R382" s="7"/>
      <c r="S382" s="7"/>
      <c r="T382" s="7"/>
    </row>
    <row r="383" spans="1:20" ht="17.399999999999999" x14ac:dyDescent="0.25">
      <c r="A383" s="48" t="str">
        <f>IF(G383&lt;&gt;"",1+MAX($A$2:A382),"")</f>
        <v/>
      </c>
      <c r="B383" s="49"/>
      <c r="C383" s="49"/>
      <c r="D383" s="50"/>
      <c r="E383" s="51" t="s">
        <v>442</v>
      </c>
      <c r="F383" s="52"/>
      <c r="G383" s="52"/>
      <c r="H383" s="52"/>
      <c r="I383" s="244"/>
      <c r="J383" s="52"/>
      <c r="K383" s="52"/>
      <c r="L383" s="52"/>
      <c r="M383" s="53"/>
      <c r="N383" s="54"/>
      <c r="O383" s="7"/>
      <c r="P383" s="254">
        <f t="shared" si="246"/>
        <v>0</v>
      </c>
      <c r="Q383" s="255">
        <f t="shared" si="247"/>
        <v>0</v>
      </c>
      <c r="R383" s="7"/>
      <c r="S383" s="7"/>
      <c r="T383" s="7"/>
    </row>
    <row r="384" spans="1:20" ht="18" customHeight="1" x14ac:dyDescent="0.25">
      <c r="A384" s="31" t="str">
        <f>IF(G384&lt;&gt;"",1+MAX($A$2:A383),"")</f>
        <v/>
      </c>
      <c r="B384" s="32"/>
      <c r="C384" s="297"/>
      <c r="D384" s="56" t="s">
        <v>443</v>
      </c>
      <c r="E384" s="126"/>
      <c r="F384" s="95"/>
      <c r="G384" s="298" t="str">
        <f t="shared" ref="G384" si="300">IF(F384=0,"",0)</f>
        <v/>
      </c>
      <c r="H384" s="299" t="str">
        <f>IF(F384=0,"",F384*(1+G384))</f>
        <v/>
      </c>
      <c r="I384" s="300"/>
      <c r="J384" s="299"/>
      <c r="K384" s="278"/>
      <c r="L384" s="278"/>
      <c r="M384" s="37"/>
      <c r="N384" s="38"/>
      <c r="O384" s="7"/>
      <c r="P384" s="254"/>
      <c r="Q384" s="255"/>
    </row>
    <row r="385" spans="1:17" ht="18" customHeight="1" x14ac:dyDescent="0.25">
      <c r="A385" s="31" t="str">
        <f>IF(G385&lt;&gt;"",1+MAX($A$2:A384),"")</f>
        <v/>
      </c>
      <c r="B385" s="317" t="s">
        <v>444</v>
      </c>
      <c r="C385" s="32"/>
      <c r="D385" s="145" t="s">
        <v>445</v>
      </c>
      <c r="E385" s="290"/>
      <c r="F385" s="35"/>
      <c r="G385" s="298"/>
      <c r="H385" s="35"/>
      <c r="I385" s="188"/>
      <c r="J385" s="36"/>
      <c r="K385" s="278"/>
      <c r="L385" s="278"/>
      <c r="M385" s="37"/>
      <c r="N385" s="38"/>
      <c r="O385" s="7"/>
      <c r="P385" s="254">
        <f t="shared" si="246"/>
        <v>0</v>
      </c>
      <c r="Q385" s="255">
        <f t="shared" si="247"/>
        <v>0</v>
      </c>
    </row>
    <row r="386" spans="1:17" ht="18" customHeight="1" x14ac:dyDescent="0.25">
      <c r="A386" s="31">
        <f>IF(G386&lt;&gt;"",1+MAX($A$2:A385),"")</f>
        <v>220</v>
      </c>
      <c r="B386" s="322"/>
      <c r="C386" s="32"/>
      <c r="D386" s="24" t="s">
        <v>446</v>
      </c>
      <c r="E386" s="279" t="s">
        <v>27</v>
      </c>
      <c r="F386" s="35">
        <v>2</v>
      </c>
      <c r="G386" s="298">
        <v>0</v>
      </c>
      <c r="H386" s="35">
        <f t="shared" ref="H386" si="301">(G386*F386)+F386</f>
        <v>2</v>
      </c>
      <c r="I386" s="190">
        <v>0.42</v>
      </c>
      <c r="J386" s="276">
        <v>62</v>
      </c>
      <c r="K386" s="278">
        <f t="shared" ref="K386" si="302">I386*J386</f>
        <v>26.04</v>
      </c>
      <c r="L386" s="278">
        <v>33</v>
      </c>
      <c r="M386" s="37">
        <f t="shared" ref="M386" si="303">+L386+K386</f>
        <v>59.04</v>
      </c>
      <c r="N386" s="38">
        <f>H386*M386</f>
        <v>118.08</v>
      </c>
      <c r="O386" s="7"/>
      <c r="P386" s="254">
        <f t="shared" si="246"/>
        <v>52.08</v>
      </c>
      <c r="Q386" s="255">
        <f t="shared" si="247"/>
        <v>66</v>
      </c>
    </row>
    <row r="387" spans="1:17" s="1" customFormat="1" ht="18" customHeight="1" x14ac:dyDescent="0.25">
      <c r="A387" s="55" t="str">
        <f>IF(G387&lt;&gt;"",1+MAX($A$2:A386),"")</f>
        <v/>
      </c>
      <c r="B387" s="322"/>
      <c r="C387" s="275"/>
      <c r="D387" s="56" t="s">
        <v>447</v>
      </c>
      <c r="E387" s="126"/>
      <c r="F387" s="95"/>
      <c r="G387" s="301"/>
      <c r="H387" s="35"/>
      <c r="I387" s="191"/>
      <c r="J387" s="276"/>
      <c r="K387" s="295"/>
      <c r="L387" s="295"/>
      <c r="M387" s="37"/>
      <c r="N387" s="38"/>
      <c r="O387" s="284"/>
      <c r="P387" s="254">
        <f t="shared" si="246"/>
        <v>0</v>
      </c>
      <c r="Q387" s="255">
        <f t="shared" si="247"/>
        <v>0</v>
      </c>
    </row>
    <row r="388" spans="1:17" ht="18" customHeight="1" x14ac:dyDescent="0.25">
      <c r="A388" s="22" t="str">
        <f>IF(G388&lt;&gt;"",1+MAX($A$2:A387),"")</f>
        <v/>
      </c>
      <c r="B388" s="322"/>
      <c r="C388" s="23"/>
      <c r="D388" s="145" t="s">
        <v>448</v>
      </c>
      <c r="E388" s="302"/>
      <c r="F388" s="27"/>
      <c r="G388" s="303"/>
      <c r="H388" s="27"/>
      <c r="I388" s="304"/>
      <c r="J388" s="276"/>
      <c r="K388" s="305"/>
      <c r="L388" s="305"/>
      <c r="M388" s="29"/>
      <c r="N388" s="30"/>
      <c r="O388" s="7"/>
      <c r="P388" s="254">
        <f t="shared" si="246"/>
        <v>0</v>
      </c>
      <c r="Q388" s="255">
        <f t="shared" si="247"/>
        <v>0</v>
      </c>
    </row>
    <row r="389" spans="1:17" ht="18" customHeight="1" x14ac:dyDescent="0.25">
      <c r="A389" s="31">
        <f>IF(G389&lt;&gt;"",1+MAX($A$2:A388),"")</f>
        <v>221</v>
      </c>
      <c r="B389" s="322"/>
      <c r="C389" s="32"/>
      <c r="D389" s="24" t="s">
        <v>449</v>
      </c>
      <c r="E389" s="33" t="s">
        <v>29</v>
      </c>
      <c r="F389" s="35">
        <v>871</v>
      </c>
      <c r="G389" s="298">
        <v>0.1</v>
      </c>
      <c r="H389" s="35">
        <f>(G389*F389)+F389</f>
        <v>958.1</v>
      </c>
      <c r="I389" s="300">
        <v>4.7E-2</v>
      </c>
      <c r="J389" s="276">
        <v>62</v>
      </c>
      <c r="K389" s="278">
        <f>I389*J389</f>
        <v>2.9140000000000001</v>
      </c>
      <c r="L389" s="278">
        <v>1.39</v>
      </c>
      <c r="M389" s="37">
        <f>+L389+K389</f>
        <v>4.3040000000000003</v>
      </c>
      <c r="N389" s="38">
        <f t="shared" ref="N389" si="304">H389*M389</f>
        <v>4123.6624000000002</v>
      </c>
      <c r="O389" s="7"/>
      <c r="P389" s="254">
        <f t="shared" si="246"/>
        <v>2791.9034000000001</v>
      </c>
      <c r="Q389" s="255">
        <f t="shared" si="247"/>
        <v>1331.759</v>
      </c>
    </row>
    <row r="390" spans="1:17" ht="18" customHeight="1" x14ac:dyDescent="0.25">
      <c r="A390" s="31" t="str">
        <f>IF(G390&lt;&gt;"",1+MAX($A$2:A389),"")</f>
        <v/>
      </c>
      <c r="B390" s="322"/>
      <c r="C390" s="32"/>
      <c r="D390" s="145" t="s">
        <v>450</v>
      </c>
      <c r="E390" s="290"/>
      <c r="F390" s="35"/>
      <c r="G390" s="298"/>
      <c r="H390" s="35"/>
      <c r="I390" s="188"/>
      <c r="J390" s="276"/>
      <c r="K390" s="278"/>
      <c r="L390" s="278"/>
      <c r="M390" s="37"/>
      <c r="N390" s="38"/>
      <c r="O390" s="7"/>
      <c r="P390" s="254">
        <f t="shared" si="246"/>
        <v>0</v>
      </c>
      <c r="Q390" s="255">
        <f t="shared" si="247"/>
        <v>0</v>
      </c>
    </row>
    <row r="391" spans="1:17" ht="18" customHeight="1" x14ac:dyDescent="0.25">
      <c r="A391" s="31">
        <f>IF(G391&lt;&gt;"",1+MAX($A$2:A390),"")</f>
        <v>222</v>
      </c>
      <c r="B391" s="322"/>
      <c r="C391" s="32"/>
      <c r="D391" s="24" t="s">
        <v>451</v>
      </c>
      <c r="E391" s="33" t="s">
        <v>29</v>
      </c>
      <c r="F391" s="35">
        <v>2612</v>
      </c>
      <c r="G391" s="298">
        <v>0.1</v>
      </c>
      <c r="H391" s="35">
        <f t="shared" ref="H391:H395" si="305">(G391*F391)+F391</f>
        <v>2873.2</v>
      </c>
      <c r="I391" s="300">
        <v>7.0000000000000001E-3</v>
      </c>
      <c r="J391" s="276">
        <v>62</v>
      </c>
      <c r="K391" s="278">
        <f t="shared" ref="K391" si="306">I391*J391</f>
        <v>0.434</v>
      </c>
      <c r="L391" s="278">
        <v>0.25</v>
      </c>
      <c r="M391" s="37">
        <f t="shared" ref="M391" si="307">+L391+K391</f>
        <v>0.68399999999999994</v>
      </c>
      <c r="N391" s="38">
        <f>H391*M391</f>
        <v>1965.2687999999996</v>
      </c>
      <c r="O391" s="7"/>
      <c r="P391" s="254">
        <f t="shared" si="246"/>
        <v>1246.9687999999999</v>
      </c>
      <c r="Q391" s="255">
        <f t="shared" si="247"/>
        <v>718.3</v>
      </c>
    </row>
    <row r="392" spans="1:17" ht="18" customHeight="1" x14ac:dyDescent="0.25">
      <c r="A392" s="31" t="str">
        <f>IF(G392&lt;&gt;"",1+MAX($A$2:A391),"")</f>
        <v/>
      </c>
      <c r="B392" s="322"/>
      <c r="C392" s="32"/>
      <c r="D392" s="145" t="s">
        <v>452</v>
      </c>
      <c r="E392" s="290"/>
      <c r="F392" s="35"/>
      <c r="G392" s="298"/>
      <c r="H392" s="35"/>
      <c r="I392" s="188"/>
      <c r="J392" s="276"/>
      <c r="K392" s="278"/>
      <c r="L392" s="278"/>
      <c r="M392" s="37"/>
      <c r="N392" s="38"/>
      <c r="O392" s="7"/>
      <c r="P392" s="254">
        <f t="shared" si="246"/>
        <v>0</v>
      </c>
      <c r="Q392" s="255">
        <f t="shared" si="247"/>
        <v>0</v>
      </c>
    </row>
    <row r="393" spans="1:17" ht="15.6" x14ac:dyDescent="0.25">
      <c r="A393" s="31">
        <f>IF(G393&lt;&gt;"",1+MAX($A$2:A392),"")</f>
        <v>223</v>
      </c>
      <c r="B393" s="322"/>
      <c r="C393" s="32"/>
      <c r="D393" s="24" t="s">
        <v>453</v>
      </c>
      <c r="E393" s="279" t="s">
        <v>27</v>
      </c>
      <c r="F393" s="35">
        <v>7</v>
      </c>
      <c r="G393" s="298">
        <v>0</v>
      </c>
      <c r="H393" s="35">
        <f t="shared" si="305"/>
        <v>7</v>
      </c>
      <c r="I393" s="190">
        <v>0.35</v>
      </c>
      <c r="J393" s="276">
        <v>62</v>
      </c>
      <c r="K393" s="278">
        <f t="shared" ref="K393:K395" si="308">I393*J393</f>
        <v>21.7</v>
      </c>
      <c r="L393" s="278">
        <v>33</v>
      </c>
      <c r="M393" s="37">
        <f t="shared" ref="M393:M395" si="309">+L393+K393</f>
        <v>54.7</v>
      </c>
      <c r="N393" s="38">
        <f t="shared" ref="N393:N395" si="310">H393*M393</f>
        <v>382.90000000000003</v>
      </c>
      <c r="O393" s="7"/>
      <c r="P393" s="254">
        <f t="shared" si="246"/>
        <v>151.9</v>
      </c>
      <c r="Q393" s="255">
        <f t="shared" si="247"/>
        <v>231</v>
      </c>
    </row>
    <row r="394" spans="1:17" ht="15.6" x14ac:dyDescent="0.25">
      <c r="A394" s="31">
        <f>IF(G394&lt;&gt;"",1+MAX($A$2:A393),"")</f>
        <v>224</v>
      </c>
      <c r="B394" s="322"/>
      <c r="C394" s="32"/>
      <c r="D394" s="24" t="s">
        <v>454</v>
      </c>
      <c r="E394" s="279" t="s">
        <v>27</v>
      </c>
      <c r="F394" s="35">
        <v>3</v>
      </c>
      <c r="G394" s="298">
        <v>0</v>
      </c>
      <c r="H394" s="35">
        <f t="shared" si="305"/>
        <v>3</v>
      </c>
      <c r="I394" s="190">
        <v>0.35</v>
      </c>
      <c r="J394" s="276">
        <v>62</v>
      </c>
      <c r="K394" s="278">
        <f t="shared" si="308"/>
        <v>21.7</v>
      </c>
      <c r="L394" s="278">
        <v>33</v>
      </c>
      <c r="M394" s="37">
        <f t="shared" si="309"/>
        <v>54.7</v>
      </c>
      <c r="N394" s="38">
        <f t="shared" si="310"/>
        <v>164.10000000000002</v>
      </c>
      <c r="O394" s="7"/>
      <c r="P394" s="254">
        <f t="shared" ref="P394:P429" si="311">K394*H394</f>
        <v>65.099999999999994</v>
      </c>
      <c r="Q394" s="255">
        <f t="shared" ref="Q394:Q429" si="312">L394*H394</f>
        <v>99</v>
      </c>
    </row>
    <row r="395" spans="1:17" ht="15.6" x14ac:dyDescent="0.25">
      <c r="A395" s="31">
        <f>IF(G395&lt;&gt;"",1+MAX($A$2:A394),"")</f>
        <v>225</v>
      </c>
      <c r="B395" s="322"/>
      <c r="C395" s="32"/>
      <c r="D395" s="24" t="s">
        <v>455</v>
      </c>
      <c r="E395" s="279" t="s">
        <v>27</v>
      </c>
      <c r="F395" s="35">
        <v>3</v>
      </c>
      <c r="G395" s="298">
        <v>0</v>
      </c>
      <c r="H395" s="35">
        <f t="shared" si="305"/>
        <v>3</v>
      </c>
      <c r="I395" s="190">
        <v>0.35</v>
      </c>
      <c r="J395" s="276">
        <v>62</v>
      </c>
      <c r="K395" s="278">
        <f t="shared" si="308"/>
        <v>21.7</v>
      </c>
      <c r="L395" s="278">
        <v>35</v>
      </c>
      <c r="M395" s="37">
        <f t="shared" si="309"/>
        <v>56.7</v>
      </c>
      <c r="N395" s="38">
        <f t="shared" si="310"/>
        <v>170.10000000000002</v>
      </c>
      <c r="O395" s="7"/>
      <c r="P395" s="254">
        <f t="shared" si="311"/>
        <v>65.099999999999994</v>
      </c>
      <c r="Q395" s="255">
        <f t="shared" si="312"/>
        <v>105</v>
      </c>
    </row>
    <row r="396" spans="1:17" ht="18" customHeight="1" x14ac:dyDescent="0.25">
      <c r="A396" s="31" t="str">
        <f>IF(G396&lt;&gt;"",1+MAX($A$2:A395),"")</f>
        <v/>
      </c>
      <c r="B396" s="322"/>
      <c r="C396" s="297"/>
      <c r="D396" s="56" t="s">
        <v>456</v>
      </c>
      <c r="E396" s="126"/>
      <c r="F396" s="95"/>
      <c r="G396" s="298"/>
      <c r="H396" s="35"/>
      <c r="I396" s="188"/>
      <c r="J396" s="276"/>
      <c r="K396" s="278"/>
      <c r="L396" s="278"/>
      <c r="M396" s="37"/>
      <c r="N396" s="38"/>
      <c r="O396" s="7"/>
      <c r="P396" s="254">
        <f t="shared" si="311"/>
        <v>0</v>
      </c>
      <c r="Q396" s="255">
        <f t="shared" si="312"/>
        <v>0</v>
      </c>
    </row>
    <row r="397" spans="1:17" ht="18" customHeight="1" x14ac:dyDescent="0.25">
      <c r="A397" s="31" t="str">
        <f>IF(G397&lt;&gt;"",1+MAX($A$2:A396),"")</f>
        <v/>
      </c>
      <c r="B397" s="322"/>
      <c r="C397" s="32"/>
      <c r="D397" s="145" t="s">
        <v>448</v>
      </c>
      <c r="E397" s="302"/>
      <c r="F397" s="35"/>
      <c r="G397" s="298"/>
      <c r="H397" s="35"/>
      <c r="I397" s="188"/>
      <c r="J397" s="276"/>
      <c r="K397" s="278"/>
      <c r="L397" s="278"/>
      <c r="M397" s="37"/>
      <c r="N397" s="38"/>
      <c r="O397" s="7"/>
      <c r="P397" s="254">
        <f t="shared" si="311"/>
        <v>0</v>
      </c>
      <c r="Q397" s="255">
        <f t="shared" si="312"/>
        <v>0</v>
      </c>
    </row>
    <row r="398" spans="1:17" ht="18" customHeight="1" x14ac:dyDescent="0.25">
      <c r="A398" s="31">
        <f>IF(G398&lt;&gt;"",1+MAX($A$2:A397),"")</f>
        <v>226</v>
      </c>
      <c r="B398" s="322"/>
      <c r="C398" s="32"/>
      <c r="D398" s="24" t="s">
        <v>457</v>
      </c>
      <c r="E398" s="33" t="s">
        <v>29</v>
      </c>
      <c r="F398" s="35">
        <v>198</v>
      </c>
      <c r="G398" s="298">
        <v>0.1</v>
      </c>
      <c r="H398" s="35">
        <f t="shared" ref="H398" si="313">(G398*F398)+F398</f>
        <v>217.8</v>
      </c>
      <c r="I398" s="300">
        <v>4.7E-2</v>
      </c>
      <c r="J398" s="276">
        <v>62</v>
      </c>
      <c r="K398" s="278">
        <f>I398*J398</f>
        <v>2.9140000000000001</v>
      </c>
      <c r="L398" s="278">
        <v>1.39</v>
      </c>
      <c r="M398" s="37">
        <f t="shared" ref="M398" si="314">+L398+K398</f>
        <v>4.3040000000000003</v>
      </c>
      <c r="N398" s="38">
        <f>H398*M398</f>
        <v>937.41120000000012</v>
      </c>
      <c r="O398" s="7"/>
      <c r="P398" s="254">
        <f t="shared" si="311"/>
        <v>634.66920000000005</v>
      </c>
      <c r="Q398" s="255">
        <f t="shared" si="312"/>
        <v>302.74200000000002</v>
      </c>
    </row>
    <row r="399" spans="1:17" ht="18" customHeight="1" x14ac:dyDescent="0.25">
      <c r="A399" s="31" t="str">
        <f>IF(G399&lt;&gt;"",1+MAX($A$2:A398),"")</f>
        <v/>
      </c>
      <c r="B399" s="322"/>
      <c r="C399" s="32"/>
      <c r="D399" s="145" t="s">
        <v>450</v>
      </c>
      <c r="E399" s="290"/>
      <c r="F399" s="35"/>
      <c r="G399" s="298"/>
      <c r="H399" s="35"/>
      <c r="I399" s="188"/>
      <c r="J399" s="276"/>
      <c r="K399" s="278"/>
      <c r="L399" s="278"/>
      <c r="M399" s="37"/>
      <c r="N399" s="38"/>
      <c r="O399" s="7"/>
      <c r="P399" s="254">
        <f t="shared" si="311"/>
        <v>0</v>
      </c>
      <c r="Q399" s="255">
        <f t="shared" si="312"/>
        <v>0</v>
      </c>
    </row>
    <row r="400" spans="1:17" ht="18" customHeight="1" x14ac:dyDescent="0.25">
      <c r="A400" s="31">
        <f>IF(G400&lt;&gt;"",1+MAX($A$2:A399),"")</f>
        <v>227</v>
      </c>
      <c r="B400" s="322"/>
      <c r="C400" s="32"/>
      <c r="D400" s="24" t="s">
        <v>451</v>
      </c>
      <c r="E400" s="33" t="s">
        <v>29</v>
      </c>
      <c r="F400" s="35">
        <v>595</v>
      </c>
      <c r="G400" s="298">
        <v>0.1</v>
      </c>
      <c r="H400" s="35">
        <f t="shared" ref="H400" si="315">(G400*F400)+F400</f>
        <v>654.5</v>
      </c>
      <c r="I400" s="300">
        <v>7.0000000000000001E-3</v>
      </c>
      <c r="J400" s="276">
        <v>62</v>
      </c>
      <c r="K400" s="278">
        <f t="shared" ref="K400" si="316">I400*J400</f>
        <v>0.434</v>
      </c>
      <c r="L400" s="278">
        <v>0.25</v>
      </c>
      <c r="M400" s="37">
        <f t="shared" ref="M400" si="317">+L400+K400</f>
        <v>0.68399999999999994</v>
      </c>
      <c r="N400" s="38">
        <f>H400*M400</f>
        <v>447.67799999999994</v>
      </c>
      <c r="O400" s="7"/>
      <c r="P400" s="254">
        <f t="shared" si="311"/>
        <v>284.053</v>
      </c>
      <c r="Q400" s="255">
        <f t="shared" si="312"/>
        <v>163.625</v>
      </c>
    </row>
    <row r="401" spans="1:20" ht="18" customHeight="1" x14ac:dyDescent="0.25">
      <c r="A401" s="31" t="str">
        <f>IF(G401&lt;&gt;"",1+MAX($A$2:A400),"")</f>
        <v/>
      </c>
      <c r="B401" s="322"/>
      <c r="C401" s="32"/>
      <c r="D401" s="145" t="s">
        <v>458</v>
      </c>
      <c r="E401" s="290"/>
      <c r="F401" s="35"/>
      <c r="G401" s="298"/>
      <c r="H401" s="35"/>
      <c r="I401" s="188"/>
      <c r="J401" s="276"/>
      <c r="K401" s="278"/>
      <c r="L401" s="278"/>
      <c r="M401" s="37"/>
      <c r="N401" s="38"/>
      <c r="O401" s="7"/>
      <c r="P401" s="254">
        <f t="shared" si="311"/>
        <v>0</v>
      </c>
      <c r="Q401" s="255">
        <f t="shared" si="312"/>
        <v>0</v>
      </c>
    </row>
    <row r="402" spans="1:20" ht="46.8" x14ac:dyDescent="0.25">
      <c r="A402" s="31">
        <f>IF(G402&lt;&gt;"",1+MAX($A$2:A401),"")</f>
        <v>228</v>
      </c>
      <c r="B402" s="322"/>
      <c r="C402" s="32"/>
      <c r="D402" s="159" t="s">
        <v>459</v>
      </c>
      <c r="E402" s="279" t="s">
        <v>27</v>
      </c>
      <c r="F402" s="35">
        <v>1</v>
      </c>
      <c r="G402" s="298">
        <v>0</v>
      </c>
      <c r="H402" s="35">
        <f t="shared" ref="H402" si="318">(G402*F402)+F402</f>
        <v>1</v>
      </c>
      <c r="I402" s="190">
        <v>1.58</v>
      </c>
      <c r="J402" s="276">
        <v>62</v>
      </c>
      <c r="K402" s="278">
        <f t="shared" ref="K402:K405" si="319">I402*J402</f>
        <v>97.960000000000008</v>
      </c>
      <c r="L402" s="278">
        <v>164</v>
      </c>
      <c r="M402" s="37">
        <f t="shared" ref="M402:M405" si="320">+L402+K402</f>
        <v>261.96000000000004</v>
      </c>
      <c r="N402" s="38">
        <f t="shared" ref="N402:N405" si="321">H402*M402</f>
        <v>261.96000000000004</v>
      </c>
      <c r="O402" s="7"/>
      <c r="P402" s="254">
        <f t="shared" si="311"/>
        <v>97.960000000000008</v>
      </c>
      <c r="Q402" s="255">
        <f t="shared" si="312"/>
        <v>164</v>
      </c>
    </row>
    <row r="403" spans="1:20" ht="46.8" x14ac:dyDescent="0.25">
      <c r="A403" s="31">
        <f>IF(G403&lt;&gt;"",1+MAX($A$2:A402),"")</f>
        <v>229</v>
      </c>
      <c r="B403" s="322"/>
      <c r="C403" s="32"/>
      <c r="D403" s="159" t="s">
        <v>460</v>
      </c>
      <c r="E403" s="279" t="s">
        <v>27</v>
      </c>
      <c r="F403" s="35">
        <v>6</v>
      </c>
      <c r="G403" s="298">
        <v>0</v>
      </c>
      <c r="H403" s="35">
        <f>(G403*F403)+F403</f>
        <v>6</v>
      </c>
      <c r="I403" s="190">
        <v>1.35</v>
      </c>
      <c r="J403" s="276">
        <v>62</v>
      </c>
      <c r="K403" s="278">
        <f t="shared" si="319"/>
        <v>83.7</v>
      </c>
      <c r="L403" s="278">
        <v>134.97999999999999</v>
      </c>
      <c r="M403" s="37">
        <f t="shared" si="320"/>
        <v>218.68</v>
      </c>
      <c r="N403" s="38">
        <f t="shared" si="321"/>
        <v>1312.08</v>
      </c>
      <c r="O403" s="7"/>
      <c r="P403" s="254">
        <f t="shared" si="311"/>
        <v>502.20000000000005</v>
      </c>
      <c r="Q403" s="255">
        <f t="shared" si="312"/>
        <v>809.87999999999988</v>
      </c>
    </row>
    <row r="404" spans="1:20" ht="62.4" x14ac:dyDescent="0.25">
      <c r="A404" s="31">
        <f>IF(G404&lt;&gt;"",1+MAX($A$2:A403),"")</f>
        <v>230</v>
      </c>
      <c r="B404" s="322"/>
      <c r="C404" s="32"/>
      <c r="D404" s="159" t="s">
        <v>461</v>
      </c>
      <c r="E404" s="279" t="s">
        <v>27</v>
      </c>
      <c r="F404" s="35">
        <v>2</v>
      </c>
      <c r="G404" s="298">
        <v>0</v>
      </c>
      <c r="H404" s="35">
        <f t="shared" ref="H404:H405" si="322">(G404*F404)+F404</f>
        <v>2</v>
      </c>
      <c r="I404" s="190">
        <v>1.35</v>
      </c>
      <c r="J404" s="276">
        <v>62</v>
      </c>
      <c r="K404" s="278">
        <f t="shared" si="319"/>
        <v>83.7</v>
      </c>
      <c r="L404" s="278">
        <v>134.97999999999999</v>
      </c>
      <c r="M404" s="37">
        <f t="shared" si="320"/>
        <v>218.68</v>
      </c>
      <c r="N404" s="38">
        <f t="shared" si="321"/>
        <v>437.36</v>
      </c>
      <c r="O404" s="7"/>
      <c r="P404" s="254">
        <f t="shared" si="311"/>
        <v>167.4</v>
      </c>
      <c r="Q404" s="255">
        <f t="shared" si="312"/>
        <v>269.95999999999998</v>
      </c>
    </row>
    <row r="405" spans="1:20" ht="62.4" x14ac:dyDescent="0.25">
      <c r="A405" s="31">
        <f>IF(G405&lt;&gt;"",1+MAX($A$2:A404),"")</f>
        <v>231</v>
      </c>
      <c r="B405" s="322"/>
      <c r="C405" s="32"/>
      <c r="D405" s="159" t="s">
        <v>462</v>
      </c>
      <c r="E405" s="279" t="s">
        <v>27</v>
      </c>
      <c r="F405" s="35">
        <v>1</v>
      </c>
      <c r="G405" s="298">
        <v>0</v>
      </c>
      <c r="H405" s="35">
        <f t="shared" si="322"/>
        <v>1</v>
      </c>
      <c r="I405" s="190">
        <v>0.85</v>
      </c>
      <c r="J405" s="276">
        <v>62</v>
      </c>
      <c r="K405" s="278">
        <f t="shared" si="319"/>
        <v>52.699999999999996</v>
      </c>
      <c r="L405" s="278">
        <v>68.2</v>
      </c>
      <c r="M405" s="37">
        <f t="shared" si="320"/>
        <v>120.9</v>
      </c>
      <c r="N405" s="38">
        <f t="shared" si="321"/>
        <v>120.9</v>
      </c>
      <c r="O405" s="7"/>
      <c r="P405" s="254">
        <f t="shared" si="311"/>
        <v>52.699999999999996</v>
      </c>
      <c r="Q405" s="255">
        <f t="shared" si="312"/>
        <v>68.2</v>
      </c>
    </row>
    <row r="406" spans="1:20" ht="18" customHeight="1" x14ac:dyDescent="0.25">
      <c r="A406" s="31" t="str">
        <f>IF(G406&lt;&gt;"",1+MAX($A$2:A405),"")</f>
        <v/>
      </c>
      <c r="B406" s="322"/>
      <c r="C406" s="32"/>
      <c r="D406" s="145" t="s">
        <v>463</v>
      </c>
      <c r="E406" s="290"/>
      <c r="F406" s="35"/>
      <c r="G406" s="298"/>
      <c r="H406" s="35"/>
      <c r="I406" s="188"/>
      <c r="J406" s="276"/>
      <c r="K406" s="278"/>
      <c r="L406" s="278"/>
      <c r="M406" s="37"/>
      <c r="N406" s="38"/>
      <c r="O406" s="7"/>
      <c r="P406" s="254">
        <f t="shared" si="311"/>
        <v>0</v>
      </c>
      <c r="Q406" s="255">
        <f t="shared" si="312"/>
        <v>0</v>
      </c>
    </row>
    <row r="407" spans="1:20" ht="15.6" x14ac:dyDescent="0.25">
      <c r="A407" s="31">
        <f>IF(G407&lt;&gt;"",1+MAX($A$2:A406),"")</f>
        <v>232</v>
      </c>
      <c r="B407" s="322"/>
      <c r="C407" s="32"/>
      <c r="D407" s="24" t="s">
        <v>464</v>
      </c>
      <c r="E407" s="279" t="s">
        <v>27</v>
      </c>
      <c r="F407" s="35">
        <v>2</v>
      </c>
      <c r="G407" s="298">
        <v>0</v>
      </c>
      <c r="H407" s="35">
        <f t="shared" ref="H407:H409" si="323">(G407*F407)+F407</f>
        <v>2</v>
      </c>
      <c r="I407" s="190">
        <v>0.75</v>
      </c>
      <c r="J407" s="276">
        <v>62</v>
      </c>
      <c r="K407" s="278">
        <f t="shared" ref="K407:K409" si="324">I407*J407</f>
        <v>46.5</v>
      </c>
      <c r="L407" s="278">
        <v>83.09</v>
      </c>
      <c r="M407" s="37">
        <f t="shared" ref="M407:M409" si="325">+L407+K407</f>
        <v>129.59</v>
      </c>
      <c r="N407" s="38">
        <f t="shared" ref="N407:N409" si="326">H407*M407</f>
        <v>259.18</v>
      </c>
      <c r="O407" s="7"/>
      <c r="P407" s="254">
        <f t="shared" si="311"/>
        <v>93</v>
      </c>
      <c r="Q407" s="255">
        <f t="shared" si="312"/>
        <v>166.18</v>
      </c>
    </row>
    <row r="408" spans="1:20" ht="15.6" x14ac:dyDescent="0.25">
      <c r="A408" s="31">
        <f>IF(G408&lt;&gt;"",1+MAX($A$2:A407),"")</f>
        <v>233</v>
      </c>
      <c r="B408" s="322"/>
      <c r="C408" s="32"/>
      <c r="D408" s="24" t="s">
        <v>465</v>
      </c>
      <c r="E408" s="279" t="s">
        <v>27</v>
      </c>
      <c r="F408" s="35">
        <v>2</v>
      </c>
      <c r="G408" s="298">
        <v>0</v>
      </c>
      <c r="H408" s="35">
        <f t="shared" si="323"/>
        <v>2</v>
      </c>
      <c r="I408" s="190">
        <v>0.75</v>
      </c>
      <c r="J408" s="276">
        <v>62</v>
      </c>
      <c r="K408" s="278">
        <f t="shared" si="324"/>
        <v>46.5</v>
      </c>
      <c r="L408" s="278">
        <v>83.09</v>
      </c>
      <c r="M408" s="37">
        <f t="shared" si="325"/>
        <v>129.59</v>
      </c>
      <c r="N408" s="38">
        <f t="shared" si="326"/>
        <v>259.18</v>
      </c>
      <c r="O408" s="7"/>
      <c r="P408" s="254">
        <f t="shared" si="311"/>
        <v>93</v>
      </c>
      <c r="Q408" s="255">
        <f t="shared" si="312"/>
        <v>166.18</v>
      </c>
    </row>
    <row r="409" spans="1:20" ht="15.6" x14ac:dyDescent="0.25">
      <c r="A409" s="31">
        <f>IF(G409&lt;&gt;"",1+MAX($A$2:A408),"")</f>
        <v>234</v>
      </c>
      <c r="B409" s="322"/>
      <c r="C409" s="32"/>
      <c r="D409" s="24" t="s">
        <v>466</v>
      </c>
      <c r="E409" s="279" t="s">
        <v>27</v>
      </c>
      <c r="F409" s="35">
        <v>2</v>
      </c>
      <c r="G409" s="298">
        <v>0</v>
      </c>
      <c r="H409" s="35">
        <f t="shared" si="323"/>
        <v>2</v>
      </c>
      <c r="I409" s="190">
        <v>0.25</v>
      </c>
      <c r="J409" s="276">
        <v>62</v>
      </c>
      <c r="K409" s="278">
        <f t="shared" si="324"/>
        <v>15.5</v>
      </c>
      <c r="L409" s="278">
        <v>25</v>
      </c>
      <c r="M409" s="37">
        <f t="shared" si="325"/>
        <v>40.5</v>
      </c>
      <c r="N409" s="38">
        <f t="shared" si="326"/>
        <v>81</v>
      </c>
      <c r="O409" s="7"/>
      <c r="P409" s="254">
        <f t="shared" si="311"/>
        <v>31</v>
      </c>
      <c r="Q409" s="255">
        <f t="shared" si="312"/>
        <v>50</v>
      </c>
    </row>
    <row r="410" spans="1:20" ht="18" customHeight="1" x14ac:dyDescent="0.25">
      <c r="A410" s="31" t="str">
        <f>IF(G410&lt;&gt;"",1+MAX($A$2:A409),"")</f>
        <v/>
      </c>
      <c r="B410" s="322"/>
      <c r="C410" s="297"/>
      <c r="D410" s="56" t="s">
        <v>431</v>
      </c>
      <c r="E410" s="126"/>
      <c r="F410" s="95"/>
      <c r="G410" s="298"/>
      <c r="H410" s="35"/>
      <c r="I410" s="188"/>
      <c r="J410" s="276"/>
      <c r="K410" s="278"/>
      <c r="L410" s="278"/>
      <c r="M410" s="37"/>
      <c r="N410" s="38"/>
      <c r="O410" s="7"/>
      <c r="P410" s="254">
        <f t="shared" si="311"/>
        <v>0</v>
      </c>
      <c r="Q410" s="255">
        <f t="shared" si="312"/>
        <v>0</v>
      </c>
    </row>
    <row r="411" spans="1:20" ht="15.6" x14ac:dyDescent="0.25">
      <c r="A411" s="31">
        <f>IF(G411&lt;&gt;"",1+MAX($A$2:A410),"")</f>
        <v>235</v>
      </c>
      <c r="B411" s="318"/>
      <c r="C411" s="32"/>
      <c r="D411" s="24" t="s">
        <v>467</v>
      </c>
      <c r="E411" s="287" t="s">
        <v>27</v>
      </c>
      <c r="F411" s="279">
        <v>1</v>
      </c>
      <c r="G411" s="298">
        <v>0</v>
      </c>
      <c r="H411" s="35">
        <f t="shared" ref="H411" si="327">(G411*F411)+F411</f>
        <v>1</v>
      </c>
      <c r="I411" s="190">
        <v>0.4</v>
      </c>
      <c r="J411" s="276">
        <v>62</v>
      </c>
      <c r="K411" s="278">
        <f t="shared" ref="K411" si="328">I411*J411</f>
        <v>24.8</v>
      </c>
      <c r="L411" s="278">
        <v>45</v>
      </c>
      <c r="M411" s="37">
        <f t="shared" ref="M411" si="329">+L411+K411</f>
        <v>69.8</v>
      </c>
      <c r="N411" s="38">
        <f>H411*M411</f>
        <v>69.8</v>
      </c>
      <c r="O411" s="7"/>
      <c r="P411" s="254">
        <f t="shared" si="311"/>
        <v>24.8</v>
      </c>
      <c r="Q411" s="255">
        <f t="shared" si="312"/>
        <v>45</v>
      </c>
    </row>
    <row r="412" spans="1:20" s="1" customFormat="1" ht="18" customHeight="1" x14ac:dyDescent="0.25">
      <c r="A412" s="40" t="str">
        <f>IF(G412&lt;&gt;"",1+MAX($A$2:A411),"")</f>
        <v/>
      </c>
      <c r="B412" s="41"/>
      <c r="C412" s="41"/>
      <c r="D412" s="280"/>
      <c r="E412" s="281"/>
      <c r="F412" s="282"/>
      <c r="G412" s="41"/>
      <c r="H412" s="41"/>
      <c r="I412" s="245"/>
      <c r="J412" s="41"/>
      <c r="K412" s="42"/>
      <c r="L412" s="42"/>
      <c r="M412" s="43" t="s">
        <v>19</v>
      </c>
      <c r="N412" s="283">
        <f>SUM(N386:N411)</f>
        <v>11110.660400000001</v>
      </c>
      <c r="P412" s="254">
        <f t="shared" si="311"/>
        <v>0</v>
      </c>
      <c r="Q412" s="255">
        <f t="shared" si="312"/>
        <v>0</v>
      </c>
    </row>
    <row r="413" spans="1:20" ht="15.6" x14ac:dyDescent="0.25">
      <c r="A413" s="66" t="str">
        <f>IF(G413&lt;&gt;"",1+MAX($A$2:A412),"")</f>
        <v/>
      </c>
      <c r="B413" s="297"/>
      <c r="C413" s="297"/>
      <c r="D413" s="143"/>
      <c r="E413" s="306"/>
      <c r="F413" s="307"/>
      <c r="G413" s="308"/>
      <c r="H413" s="307"/>
      <c r="I413" s="273"/>
      <c r="J413" s="309"/>
      <c r="K413" s="310"/>
      <c r="L413" s="310"/>
      <c r="M413" s="311"/>
      <c r="N413" s="312"/>
      <c r="O413" s="7"/>
      <c r="P413" s="254">
        <f t="shared" si="311"/>
        <v>0</v>
      </c>
      <c r="Q413" s="255">
        <f t="shared" si="312"/>
        <v>0</v>
      </c>
    </row>
    <row r="414" spans="1:20" ht="17.399999999999999" x14ac:dyDescent="0.25">
      <c r="A414" s="48" t="str">
        <f>IF(G414&lt;&gt;"",1+MAX($A$2:A413),"")</f>
        <v/>
      </c>
      <c r="B414" s="49"/>
      <c r="C414" s="49"/>
      <c r="D414" s="50"/>
      <c r="E414" s="51" t="s">
        <v>468</v>
      </c>
      <c r="F414" s="52"/>
      <c r="G414" s="52"/>
      <c r="H414" s="52"/>
      <c r="I414" s="244"/>
      <c r="J414" s="52"/>
      <c r="K414" s="52"/>
      <c r="L414" s="52"/>
      <c r="M414" s="53"/>
      <c r="N414" s="54"/>
      <c r="O414" s="7"/>
      <c r="P414" s="254">
        <f t="shared" si="311"/>
        <v>0</v>
      </c>
      <c r="Q414" s="255">
        <f t="shared" si="312"/>
        <v>0</v>
      </c>
      <c r="R414" s="7"/>
      <c r="S414" s="7"/>
      <c r="T414" s="7"/>
    </row>
    <row r="415" spans="1:20" ht="18" customHeight="1" x14ac:dyDescent="0.25">
      <c r="A415" s="31" t="str">
        <f>IF(G415&lt;&gt;"",1+MAX($A$2:A414),"")</f>
        <v/>
      </c>
      <c r="B415" s="32"/>
      <c r="C415" s="297"/>
      <c r="D415" s="56" t="s">
        <v>469</v>
      </c>
      <c r="E415" s="126"/>
      <c r="F415" s="95"/>
      <c r="G415" s="298"/>
      <c r="H415" s="35"/>
      <c r="I415" s="188"/>
      <c r="J415" s="36"/>
      <c r="K415" s="278"/>
      <c r="L415" s="278"/>
      <c r="M415" s="37"/>
      <c r="N415" s="38"/>
      <c r="O415" s="7"/>
      <c r="P415" s="254">
        <f t="shared" si="311"/>
        <v>0</v>
      </c>
      <c r="Q415" s="255">
        <f t="shared" si="312"/>
        <v>0</v>
      </c>
    </row>
    <row r="416" spans="1:20" ht="18" customHeight="1" x14ac:dyDescent="0.25">
      <c r="A416" s="31" t="str">
        <f>IF(G416&lt;&gt;"",1+MAX($A$2:A415),"")</f>
        <v/>
      </c>
      <c r="B416" s="317" t="s">
        <v>444</v>
      </c>
      <c r="C416" s="32"/>
      <c r="D416" s="145" t="s">
        <v>448</v>
      </c>
      <c r="E416" s="302"/>
      <c r="F416" s="35"/>
      <c r="G416" s="298"/>
      <c r="H416" s="35"/>
      <c r="I416" s="188"/>
      <c r="J416" s="36"/>
      <c r="K416" s="278"/>
      <c r="L416" s="278"/>
      <c r="M416" s="37"/>
      <c r="N416" s="38"/>
      <c r="O416" s="7"/>
      <c r="P416" s="254">
        <f t="shared" si="311"/>
        <v>0</v>
      </c>
      <c r="Q416" s="255">
        <f t="shared" si="312"/>
        <v>0</v>
      </c>
    </row>
    <row r="417" spans="1:18" ht="18" customHeight="1" x14ac:dyDescent="0.25">
      <c r="A417" s="31">
        <f>IF(G417&lt;&gt;"",1+MAX($A$2:A416),"")</f>
        <v>236</v>
      </c>
      <c r="B417" s="322"/>
      <c r="C417" s="158" t="s">
        <v>470</v>
      </c>
      <c r="D417" s="24" t="s">
        <v>471</v>
      </c>
      <c r="E417" s="33" t="s">
        <v>29</v>
      </c>
      <c r="F417" s="35">
        <v>30</v>
      </c>
      <c r="G417" s="298">
        <v>0.1</v>
      </c>
      <c r="H417" s="35">
        <f t="shared" ref="H417" si="330">(G417*F417)+F417</f>
        <v>33</v>
      </c>
      <c r="I417" s="190">
        <v>6.2E-2</v>
      </c>
      <c r="J417" s="276">
        <v>62</v>
      </c>
      <c r="K417" s="278">
        <f>I417*J417</f>
        <v>3.8439999999999999</v>
      </c>
      <c r="L417" s="278">
        <v>2.0299999999999998</v>
      </c>
      <c r="M417" s="37">
        <f t="shared" ref="M417" si="331">+L417+K417</f>
        <v>5.8739999999999997</v>
      </c>
      <c r="N417" s="38">
        <f>H417*M417</f>
        <v>193.84199999999998</v>
      </c>
      <c r="O417" s="7"/>
      <c r="P417" s="254">
        <f t="shared" si="311"/>
        <v>126.85199999999999</v>
      </c>
      <c r="Q417" s="255">
        <f t="shared" si="312"/>
        <v>66.989999999999995</v>
      </c>
    </row>
    <row r="418" spans="1:18" ht="18" customHeight="1" x14ac:dyDescent="0.25">
      <c r="A418" s="31" t="str">
        <f>IF(G418&lt;&gt;"",1+MAX($A$2:A417),"")</f>
        <v/>
      </c>
      <c r="B418" s="322"/>
      <c r="C418" s="32"/>
      <c r="D418" s="145" t="s">
        <v>472</v>
      </c>
      <c r="E418" s="290"/>
      <c r="F418" s="35"/>
      <c r="G418" s="298"/>
      <c r="H418" s="35"/>
      <c r="I418" s="190"/>
      <c r="J418" s="36"/>
      <c r="K418" s="278"/>
      <c r="L418" s="278"/>
      <c r="M418" s="37"/>
      <c r="N418" s="38"/>
      <c r="O418" s="7"/>
      <c r="P418" s="254">
        <f t="shared" si="311"/>
        <v>0</v>
      </c>
      <c r="Q418" s="255">
        <f t="shared" si="312"/>
        <v>0</v>
      </c>
    </row>
    <row r="419" spans="1:18" ht="15.6" x14ac:dyDescent="0.25">
      <c r="A419" s="31">
        <f>IF(G419&lt;&gt;"",1+MAX($A$2:A418),"")</f>
        <v>237</v>
      </c>
      <c r="B419" s="322"/>
      <c r="C419" s="32"/>
      <c r="D419" s="24" t="s">
        <v>473</v>
      </c>
      <c r="E419" s="279" t="s">
        <v>27</v>
      </c>
      <c r="F419" s="35">
        <v>2</v>
      </c>
      <c r="G419" s="298">
        <v>0</v>
      </c>
      <c r="H419" s="35">
        <f t="shared" ref="H419" si="332">(G419*F419)+F419</f>
        <v>2</v>
      </c>
      <c r="I419" s="190">
        <v>0.25</v>
      </c>
      <c r="J419" s="276">
        <v>62</v>
      </c>
      <c r="K419" s="278">
        <f t="shared" ref="K419:K422" si="333">I419*J419</f>
        <v>15.5</v>
      </c>
      <c r="L419" s="278">
        <v>25</v>
      </c>
      <c r="M419" s="37">
        <f t="shared" ref="M419:M422" si="334">+L419+K419</f>
        <v>40.5</v>
      </c>
      <c r="N419" s="38">
        <f t="shared" ref="N419:N422" si="335">H419*M419</f>
        <v>81</v>
      </c>
      <c r="O419" s="7"/>
      <c r="P419" s="254">
        <f t="shared" si="311"/>
        <v>31</v>
      </c>
      <c r="Q419" s="255">
        <f t="shared" si="312"/>
        <v>50</v>
      </c>
    </row>
    <row r="420" spans="1:18" ht="15.6" x14ac:dyDescent="0.25">
      <c r="A420" s="31"/>
      <c r="B420" s="322"/>
      <c r="C420" s="32"/>
      <c r="D420" s="24" t="s">
        <v>474</v>
      </c>
      <c r="E420" s="279" t="s">
        <v>27</v>
      </c>
      <c r="F420" s="35">
        <v>4</v>
      </c>
      <c r="G420" s="298">
        <v>0</v>
      </c>
      <c r="H420" s="35">
        <f>(G420*F420)+F420</f>
        <v>4</v>
      </c>
      <c r="I420" s="190">
        <v>0.15</v>
      </c>
      <c r="J420" s="276">
        <v>62</v>
      </c>
      <c r="K420" s="278">
        <f t="shared" ref="K420:K421" si="336">J420*I420</f>
        <v>9.2999999999999989</v>
      </c>
      <c r="L420" s="278">
        <v>4.0999999999999996</v>
      </c>
      <c r="M420" s="37">
        <f t="shared" si="334"/>
        <v>13.399999999999999</v>
      </c>
      <c r="N420" s="38">
        <f t="shared" si="335"/>
        <v>53.599999999999994</v>
      </c>
      <c r="O420" s="7"/>
      <c r="P420" s="254">
        <f t="shared" si="311"/>
        <v>37.199999999999996</v>
      </c>
      <c r="Q420" s="255">
        <f t="shared" si="312"/>
        <v>16.399999999999999</v>
      </c>
    </row>
    <row r="421" spans="1:18" ht="15.6" x14ac:dyDescent="0.25">
      <c r="A421" s="31"/>
      <c r="B421" s="322"/>
      <c r="C421" s="32"/>
      <c r="D421" s="24" t="s">
        <v>475</v>
      </c>
      <c r="E421" s="279" t="s">
        <v>27</v>
      </c>
      <c r="F421" s="35">
        <v>2</v>
      </c>
      <c r="G421" s="298">
        <v>0</v>
      </c>
      <c r="H421" s="35">
        <f t="shared" ref="H421:H422" si="337">(G421*F421)+F421</f>
        <v>2</v>
      </c>
      <c r="I421" s="190">
        <v>0.25</v>
      </c>
      <c r="J421" s="276">
        <v>62</v>
      </c>
      <c r="K421" s="278">
        <f t="shared" si="336"/>
        <v>15.5</v>
      </c>
      <c r="L421" s="278">
        <v>14.26</v>
      </c>
      <c r="M421" s="37">
        <f t="shared" si="334"/>
        <v>29.759999999999998</v>
      </c>
      <c r="N421" s="38">
        <f t="shared" si="335"/>
        <v>59.519999999999996</v>
      </c>
      <c r="O421" s="7"/>
      <c r="P421" s="254">
        <f t="shared" si="311"/>
        <v>31</v>
      </c>
      <c r="Q421" s="255">
        <f t="shared" si="312"/>
        <v>28.52</v>
      </c>
    </row>
    <row r="422" spans="1:18" ht="15.6" x14ac:dyDescent="0.25">
      <c r="A422" s="31"/>
      <c r="B422" s="322"/>
      <c r="C422" s="32"/>
      <c r="D422" s="24" t="s">
        <v>476</v>
      </c>
      <c r="E422" s="279" t="s">
        <v>27</v>
      </c>
      <c r="F422" s="35">
        <v>2</v>
      </c>
      <c r="G422" s="298">
        <v>0</v>
      </c>
      <c r="H422" s="35">
        <f t="shared" si="337"/>
        <v>2</v>
      </c>
      <c r="I422" s="190">
        <v>0.1</v>
      </c>
      <c r="J422" s="276">
        <v>62</v>
      </c>
      <c r="K422" s="278">
        <f t="shared" si="333"/>
        <v>6.2</v>
      </c>
      <c r="L422" s="278">
        <v>4.1399999999999997</v>
      </c>
      <c r="M422" s="37">
        <f t="shared" si="334"/>
        <v>10.34</v>
      </c>
      <c r="N422" s="38">
        <f t="shared" si="335"/>
        <v>20.68</v>
      </c>
      <c r="O422" s="7"/>
      <c r="P422" s="254">
        <f t="shared" si="311"/>
        <v>12.4</v>
      </c>
      <c r="Q422" s="255">
        <f t="shared" si="312"/>
        <v>8.2799999999999994</v>
      </c>
    </row>
    <row r="423" spans="1:18" ht="18" customHeight="1" x14ac:dyDescent="0.25">
      <c r="A423" s="31" t="str">
        <f>IF(G423&lt;&gt;"",1+MAX($A$2:A422),"")</f>
        <v/>
      </c>
      <c r="B423" s="322"/>
      <c r="C423" s="297"/>
      <c r="D423" s="56" t="s">
        <v>477</v>
      </c>
      <c r="E423" s="126"/>
      <c r="F423" s="95"/>
      <c r="G423" s="298"/>
      <c r="H423" s="35"/>
      <c r="I423" s="188"/>
      <c r="J423" s="276"/>
      <c r="K423" s="278"/>
      <c r="L423" s="278"/>
      <c r="M423" s="37"/>
      <c r="N423" s="38"/>
      <c r="O423" s="7"/>
      <c r="P423" s="254">
        <f t="shared" si="311"/>
        <v>0</v>
      </c>
      <c r="Q423" s="255">
        <f t="shared" si="312"/>
        <v>0</v>
      </c>
    </row>
    <row r="424" spans="1:18" ht="18" customHeight="1" x14ac:dyDescent="0.25">
      <c r="A424" s="31" t="str">
        <f>IF(G424&lt;&gt;"",1+MAX($A$2:A423),"")</f>
        <v/>
      </c>
      <c r="B424" s="322"/>
      <c r="C424" s="32"/>
      <c r="D424" s="145" t="s">
        <v>448</v>
      </c>
      <c r="E424" s="302"/>
      <c r="F424" s="35"/>
      <c r="G424" s="298"/>
      <c r="H424" s="35"/>
      <c r="I424" s="188"/>
      <c r="J424" s="36"/>
      <c r="K424" s="278"/>
      <c r="L424" s="278"/>
      <c r="M424" s="37"/>
      <c r="N424" s="38"/>
      <c r="O424" s="7"/>
      <c r="P424" s="254">
        <f t="shared" si="311"/>
        <v>0</v>
      </c>
      <c r="Q424" s="255">
        <f t="shared" si="312"/>
        <v>0</v>
      </c>
    </row>
    <row r="425" spans="1:18" ht="18" customHeight="1" x14ac:dyDescent="0.25">
      <c r="A425" s="31">
        <f>IF(G425&lt;&gt;"",1+MAX($A$2:A424),"")</f>
        <v>238</v>
      </c>
      <c r="B425" s="322"/>
      <c r="C425" s="158" t="s">
        <v>470</v>
      </c>
      <c r="D425" s="24" t="s">
        <v>471</v>
      </c>
      <c r="E425" s="33" t="s">
        <v>29</v>
      </c>
      <c r="F425" s="35">
        <v>15</v>
      </c>
      <c r="G425" s="298">
        <v>0.1</v>
      </c>
      <c r="H425" s="35">
        <f t="shared" ref="H425" si="338">(G425*F425)+F425</f>
        <v>16.5</v>
      </c>
      <c r="I425" s="190">
        <v>6.2E-2</v>
      </c>
      <c r="J425" s="276">
        <v>62</v>
      </c>
      <c r="K425" s="278">
        <f>I425*J425</f>
        <v>3.8439999999999999</v>
      </c>
      <c r="L425" s="278">
        <v>2.0299999999999998</v>
      </c>
      <c r="M425" s="37">
        <f t="shared" ref="M425" si="339">+L425+K425</f>
        <v>5.8739999999999997</v>
      </c>
      <c r="N425" s="38">
        <f>H425*M425</f>
        <v>96.920999999999992</v>
      </c>
      <c r="O425" s="7"/>
      <c r="P425" s="254">
        <f t="shared" si="311"/>
        <v>63.425999999999995</v>
      </c>
      <c r="Q425" s="255">
        <f t="shared" si="312"/>
        <v>33.494999999999997</v>
      </c>
    </row>
    <row r="426" spans="1:18" ht="18" customHeight="1" x14ac:dyDescent="0.25">
      <c r="A426" s="31" t="str">
        <f>IF(G426&lt;&gt;"",1+MAX($A$2:A425),"")</f>
        <v/>
      </c>
      <c r="B426" s="322"/>
      <c r="C426" s="32"/>
      <c r="D426" s="145" t="s">
        <v>472</v>
      </c>
      <c r="E426" s="290"/>
      <c r="F426" s="35"/>
      <c r="G426" s="298"/>
      <c r="H426" s="35"/>
      <c r="I426" s="188"/>
      <c r="J426" s="36"/>
      <c r="K426" s="278"/>
      <c r="L426" s="278"/>
      <c r="M426" s="37"/>
      <c r="N426" s="38"/>
      <c r="O426" s="7"/>
      <c r="P426" s="254">
        <f t="shared" si="311"/>
        <v>0</v>
      </c>
      <c r="Q426" s="255">
        <f t="shared" si="312"/>
        <v>0</v>
      </c>
    </row>
    <row r="427" spans="1:18" ht="15.6" x14ac:dyDescent="0.25">
      <c r="A427" s="31">
        <f>IF(G427&lt;&gt;"",1+MAX($A$2:A426),"")</f>
        <v>239</v>
      </c>
      <c r="B427" s="322"/>
      <c r="C427" s="32"/>
      <c r="D427" s="24" t="s">
        <v>478</v>
      </c>
      <c r="E427" s="279" t="s">
        <v>27</v>
      </c>
      <c r="F427" s="35">
        <v>1</v>
      </c>
      <c r="G427" s="298">
        <v>0</v>
      </c>
      <c r="H427" s="35">
        <f t="shared" ref="H427" si="340">(G427*F427)+F427</f>
        <v>1</v>
      </c>
      <c r="I427" s="190">
        <v>1.88</v>
      </c>
      <c r="J427" s="276">
        <v>62</v>
      </c>
      <c r="K427" s="278">
        <f t="shared" ref="K427" si="341">I427*J427</f>
        <v>116.55999999999999</v>
      </c>
      <c r="L427" s="278">
        <v>348.55</v>
      </c>
      <c r="M427" s="37">
        <f t="shared" ref="M427:M429" si="342">+L427+K427</f>
        <v>465.11</v>
      </c>
      <c r="N427" s="38">
        <f t="shared" ref="N427:N429" si="343">H427*M427</f>
        <v>465.11</v>
      </c>
      <c r="O427" s="7"/>
      <c r="P427" s="254">
        <f t="shared" si="311"/>
        <v>116.55999999999999</v>
      </c>
      <c r="Q427" s="255">
        <f t="shared" si="312"/>
        <v>348.55</v>
      </c>
    </row>
    <row r="428" spans="1:18" ht="15.6" x14ac:dyDescent="0.25">
      <c r="A428" s="31"/>
      <c r="B428" s="322"/>
      <c r="C428" s="32"/>
      <c r="D428" s="24" t="s">
        <v>479</v>
      </c>
      <c r="E428" s="279" t="s">
        <v>27</v>
      </c>
      <c r="F428" s="35">
        <v>1</v>
      </c>
      <c r="G428" s="298">
        <v>0</v>
      </c>
      <c r="H428" s="35">
        <f>(G428*F428)+F428</f>
        <v>1</v>
      </c>
      <c r="I428" s="190">
        <v>0.25</v>
      </c>
      <c r="J428" s="276">
        <v>62</v>
      </c>
      <c r="K428" s="278">
        <f t="shared" ref="K428" si="344">J428*I428</f>
        <v>15.5</v>
      </c>
      <c r="L428" s="278">
        <v>14.26</v>
      </c>
      <c r="M428" s="37">
        <f t="shared" si="342"/>
        <v>29.759999999999998</v>
      </c>
      <c r="N428" s="38">
        <f t="shared" si="343"/>
        <v>29.759999999999998</v>
      </c>
      <c r="O428" s="7"/>
      <c r="P428" s="254">
        <f t="shared" si="311"/>
        <v>15.5</v>
      </c>
      <c r="Q428" s="255">
        <f t="shared" si="312"/>
        <v>14.26</v>
      </c>
    </row>
    <row r="429" spans="1:18" ht="15.6" x14ac:dyDescent="0.25">
      <c r="A429" s="31"/>
      <c r="B429" s="318"/>
      <c r="C429" s="32"/>
      <c r="D429" s="24" t="s">
        <v>476</v>
      </c>
      <c r="E429" s="279" t="s">
        <v>27</v>
      </c>
      <c r="F429" s="35">
        <v>1</v>
      </c>
      <c r="G429" s="298">
        <v>0</v>
      </c>
      <c r="H429" s="35">
        <f t="shared" ref="H429" si="345">(G429*F429)+F429</f>
        <v>1</v>
      </c>
      <c r="I429" s="190">
        <v>0.1</v>
      </c>
      <c r="J429" s="276">
        <v>62</v>
      </c>
      <c r="K429" s="278">
        <f t="shared" ref="K429" si="346">I429*J429</f>
        <v>6.2</v>
      </c>
      <c r="L429" s="278">
        <v>4.1399999999999997</v>
      </c>
      <c r="M429" s="37">
        <f t="shared" si="342"/>
        <v>10.34</v>
      </c>
      <c r="N429" s="38">
        <f t="shared" si="343"/>
        <v>10.34</v>
      </c>
      <c r="O429" s="7"/>
      <c r="P429" s="254">
        <f t="shared" si="311"/>
        <v>6.2</v>
      </c>
      <c r="Q429" s="255">
        <f t="shared" si="312"/>
        <v>4.1399999999999997</v>
      </c>
    </row>
    <row r="430" spans="1:18" s="1" customFormat="1" ht="18" customHeight="1" x14ac:dyDescent="0.25">
      <c r="A430" s="40" t="str">
        <f>IF(G430&lt;&gt;"",1+MAX($A$2:A429),"")</f>
        <v/>
      </c>
      <c r="B430" s="41"/>
      <c r="C430" s="41"/>
      <c r="D430" s="280"/>
      <c r="E430" s="281"/>
      <c r="F430" s="282"/>
      <c r="G430" s="41"/>
      <c r="H430" s="41"/>
      <c r="I430" s="245"/>
      <c r="J430" s="41"/>
      <c r="K430" s="42"/>
      <c r="L430" s="42"/>
      <c r="M430" s="43" t="s">
        <v>19</v>
      </c>
      <c r="N430" s="283">
        <f>SUM(N417:N429)</f>
        <v>1010.773</v>
      </c>
      <c r="P430" s="313">
        <f>SUM(P24:P429)</f>
        <v>346060.98404757143</v>
      </c>
      <c r="Q430" s="313">
        <f>SUM(Q24:Q429)</f>
        <v>530507.32015591173</v>
      </c>
    </row>
    <row r="431" spans="1:18" ht="16.2" thickBot="1" x14ac:dyDescent="0.3">
      <c r="A431" s="71" t="str">
        <f>IF(G431&lt;&gt;"",1+MAX($A$2:A330),"")</f>
        <v/>
      </c>
      <c r="B431" s="72"/>
      <c r="C431" s="72"/>
      <c r="D431" s="72"/>
      <c r="E431" s="73"/>
      <c r="F431" s="137"/>
      <c r="G431" s="74"/>
      <c r="H431" s="137"/>
      <c r="I431" s="138"/>
      <c r="J431" s="231"/>
      <c r="K431" s="75"/>
      <c r="L431" s="75"/>
      <c r="M431" s="139"/>
      <c r="N431" s="76"/>
      <c r="O431" s="7"/>
      <c r="P431" s="7"/>
      <c r="Q431" s="7"/>
      <c r="R431" s="7"/>
    </row>
    <row r="432" spans="1:18" ht="20.100000000000001" customHeight="1" x14ac:dyDescent="0.25">
      <c r="A432" s="338" t="s">
        <v>10</v>
      </c>
      <c r="B432" s="339"/>
      <c r="C432" s="339"/>
      <c r="D432" s="339"/>
      <c r="E432" s="339"/>
      <c r="F432" s="339"/>
      <c r="G432" s="339"/>
      <c r="H432" s="339"/>
      <c r="I432" s="339"/>
      <c r="J432" s="339"/>
      <c r="K432" s="339"/>
      <c r="L432" s="340"/>
      <c r="M432" s="262"/>
      <c r="N432" s="263">
        <f>SUM(N20,N84,N100,N125,N154,N185,N196,N308,N316,N322,N330,N430,N412,N381,N335)</f>
        <v>982602.30420348293</v>
      </c>
    </row>
    <row r="433" spans="1:18" ht="20.100000000000001" customHeight="1" x14ac:dyDescent="0.25">
      <c r="A433" s="107" t="s">
        <v>14</v>
      </c>
      <c r="B433" s="108"/>
      <c r="C433" s="109"/>
      <c r="D433" s="212"/>
      <c r="E433" s="212"/>
      <c r="F433" s="212"/>
      <c r="G433" s="212"/>
      <c r="H433" s="212"/>
      <c r="I433" s="248"/>
      <c r="J433" s="234"/>
      <c r="K433" s="212"/>
      <c r="L433" s="213"/>
      <c r="M433" s="110">
        <v>0.15</v>
      </c>
      <c r="N433" s="111">
        <f>N432*M433</f>
        <v>147390.34563052244</v>
      </c>
    </row>
    <row r="434" spans="1:18" ht="20.100000000000001" customHeight="1" x14ac:dyDescent="0.25">
      <c r="A434" s="112" t="s">
        <v>3</v>
      </c>
      <c r="B434" s="113"/>
      <c r="C434" s="212"/>
      <c r="D434" s="212"/>
      <c r="E434" s="212"/>
      <c r="F434" s="212"/>
      <c r="G434" s="212"/>
      <c r="H434" s="212"/>
      <c r="I434" s="248"/>
      <c r="J434" s="234"/>
      <c r="K434" s="212"/>
      <c r="L434" s="213"/>
      <c r="M434" s="114">
        <v>0.03</v>
      </c>
      <c r="N434" s="115">
        <f>N432*M434</f>
        <v>29478.069126104485</v>
      </c>
    </row>
    <row r="435" spans="1:18" ht="20.100000000000001" customHeight="1" x14ac:dyDescent="0.25">
      <c r="A435" s="112" t="s">
        <v>12</v>
      </c>
      <c r="B435" s="113"/>
      <c r="C435" s="212"/>
      <c r="D435" s="212"/>
      <c r="E435" s="212"/>
      <c r="F435" s="212"/>
      <c r="G435" s="212"/>
      <c r="H435" s="212"/>
      <c r="I435" s="248"/>
      <c r="J435" s="234"/>
      <c r="K435" s="212"/>
      <c r="L435" s="213"/>
      <c r="M435" s="114">
        <v>0.05</v>
      </c>
      <c r="N435" s="111">
        <f>N432*M435</f>
        <v>49130.115210174146</v>
      </c>
    </row>
    <row r="436" spans="1:18" ht="20.100000000000001" customHeight="1" thickBot="1" x14ac:dyDescent="0.3">
      <c r="A436" s="203" t="s">
        <v>21</v>
      </c>
      <c r="B436" s="204"/>
      <c r="C436" s="205"/>
      <c r="D436" s="205"/>
      <c r="E436" s="205"/>
      <c r="F436" s="205"/>
      <c r="G436" s="205"/>
      <c r="H436" s="205"/>
      <c r="I436" s="249"/>
      <c r="J436" s="235"/>
      <c r="K436" s="205"/>
      <c r="L436" s="206"/>
      <c r="M436" s="264">
        <v>9.0999999999999998E-2</v>
      </c>
      <c r="N436" s="111">
        <f>Q430*M436</f>
        <v>48276.166134187966</v>
      </c>
    </row>
    <row r="437" spans="1:18" ht="20.100000000000001" customHeight="1" thickBot="1" x14ac:dyDescent="0.3">
      <c r="A437" s="323" t="s">
        <v>11</v>
      </c>
      <c r="B437" s="324"/>
      <c r="C437" s="324"/>
      <c r="D437" s="324"/>
      <c r="E437" s="324"/>
      <c r="F437" s="324"/>
      <c r="G437" s="324"/>
      <c r="H437" s="324"/>
      <c r="I437" s="324"/>
      <c r="J437" s="324"/>
      <c r="K437" s="324"/>
      <c r="L437" s="324"/>
      <c r="M437" s="324"/>
      <c r="N437" s="265">
        <f>N432+N433+N434+N435+N436</f>
        <v>1256877.0003044719</v>
      </c>
    </row>
    <row r="438" spans="1:18" ht="18" customHeight="1" x14ac:dyDescent="0.25">
      <c r="A438" s="71" t="str">
        <f>IF(G438&lt;&gt;"",1+MAX($A$2:A437),"")</f>
        <v/>
      </c>
      <c r="B438" s="72"/>
      <c r="C438" s="72"/>
      <c r="D438" s="72"/>
      <c r="E438" s="73"/>
      <c r="F438" s="137"/>
      <c r="G438" s="74"/>
      <c r="H438" s="137"/>
      <c r="I438" s="138"/>
      <c r="J438" s="231"/>
      <c r="K438" s="75"/>
      <c r="L438" s="75"/>
      <c r="M438" s="139"/>
      <c r="N438" s="76"/>
      <c r="O438" s="7"/>
      <c r="P438" s="7"/>
      <c r="Q438" s="7"/>
      <c r="R438" s="7"/>
    </row>
    <row r="439" spans="1:18" ht="18" customHeight="1" thickBot="1" x14ac:dyDescent="0.3">
      <c r="A439" s="196" t="str">
        <f>IF(G439&lt;&gt;"",1+MAX($A$2:A437),"")</f>
        <v/>
      </c>
      <c r="B439" s="197"/>
      <c r="C439" s="197"/>
      <c r="D439" s="198"/>
      <c r="E439" s="199" t="s">
        <v>303</v>
      </c>
      <c r="F439" s="200"/>
      <c r="G439" s="200"/>
      <c r="H439" s="200"/>
      <c r="I439" s="250"/>
      <c r="J439" s="236"/>
      <c r="K439" s="200"/>
      <c r="L439" s="200"/>
      <c r="M439" s="201"/>
      <c r="N439" s="202"/>
      <c r="O439" s="7"/>
      <c r="P439" s="7"/>
      <c r="Q439" s="7"/>
      <c r="R439" s="7"/>
    </row>
    <row r="440" spans="1:18" ht="18" customHeight="1" thickBot="1" x14ac:dyDescent="0.3">
      <c r="A440" s="48" t="str">
        <f>IF(G440&lt;&gt;"",1+MAX($A$2:A438),"")</f>
        <v/>
      </c>
      <c r="B440" s="49"/>
      <c r="C440" s="49"/>
      <c r="D440" s="50"/>
      <c r="E440" s="51" t="s">
        <v>44</v>
      </c>
      <c r="F440" s="52"/>
      <c r="G440" s="52"/>
      <c r="H440" s="52"/>
      <c r="I440" s="244"/>
      <c r="J440" s="222"/>
      <c r="K440" s="52"/>
      <c r="L440" s="52"/>
      <c r="M440" s="53"/>
      <c r="N440" s="54"/>
      <c r="O440" s="7"/>
      <c r="P440" s="258" t="s">
        <v>23</v>
      </c>
      <c r="Q440" s="259" t="s">
        <v>24</v>
      </c>
      <c r="R440" s="7"/>
    </row>
    <row r="441" spans="1:18" ht="18" customHeight="1" x14ac:dyDescent="0.3">
      <c r="A441" s="66" t="str">
        <f>IF(G441&lt;&gt;"",1+MAX($A$2:A440),"")</f>
        <v/>
      </c>
      <c r="B441" s="171"/>
      <c r="C441" s="174"/>
      <c r="D441" s="56" t="s">
        <v>131</v>
      </c>
      <c r="E441" s="124"/>
      <c r="F441" s="96"/>
      <c r="G441" s="64"/>
      <c r="H441" s="35"/>
      <c r="I441" s="191"/>
      <c r="J441" s="229"/>
      <c r="K441" s="59"/>
      <c r="L441" s="59"/>
      <c r="M441" s="37"/>
      <c r="N441" s="39"/>
      <c r="O441" s="7"/>
      <c r="P441" s="269">
        <f t="shared" ref="P441:P448" si="347">K441*H441</f>
        <v>0</v>
      </c>
      <c r="Q441" s="270">
        <f t="shared" ref="Q441:Q448" si="348">L441*H441</f>
        <v>0</v>
      </c>
      <c r="R441" s="7"/>
    </row>
    <row r="442" spans="1:18" ht="15.6" customHeight="1" x14ac:dyDescent="0.25">
      <c r="A442" s="66" t="str">
        <f>IF(G442&lt;&gt;"",1+MAX($A$2:A441),"")</f>
        <v/>
      </c>
      <c r="B442" s="173"/>
      <c r="C442" s="158"/>
      <c r="D442" s="145" t="s">
        <v>200</v>
      </c>
      <c r="E442" s="87"/>
      <c r="F442" s="35"/>
      <c r="G442" s="34"/>
      <c r="H442" s="35"/>
      <c r="I442" s="188"/>
      <c r="J442" s="228"/>
      <c r="K442" s="36"/>
      <c r="L442" s="36"/>
      <c r="M442" s="37"/>
      <c r="N442" s="39"/>
      <c r="O442" s="7"/>
      <c r="P442" s="254">
        <f t="shared" si="347"/>
        <v>0</v>
      </c>
      <c r="Q442" s="255">
        <f t="shared" si="348"/>
        <v>0</v>
      </c>
      <c r="R442" s="7"/>
    </row>
    <row r="443" spans="1:18" ht="46.8" x14ac:dyDescent="0.25">
      <c r="A443" s="66">
        <f>IF(G443&lt;&gt;"",1+MAX($A$2:A442),"")</f>
        <v>240</v>
      </c>
      <c r="B443" s="173" t="s">
        <v>109</v>
      </c>
      <c r="C443" s="158" t="s">
        <v>81</v>
      </c>
      <c r="D443" s="159" t="s">
        <v>104</v>
      </c>
      <c r="E443" s="33" t="s">
        <v>7</v>
      </c>
      <c r="F443" s="35">
        <f>10*930</f>
        <v>9300</v>
      </c>
      <c r="G443" s="34">
        <v>0.1</v>
      </c>
      <c r="H443" s="35">
        <f>(G443*F443)+F443</f>
        <v>10230</v>
      </c>
      <c r="I443" s="190">
        <v>2.5000000000000001E-2</v>
      </c>
      <c r="J443" s="223">
        <v>35</v>
      </c>
      <c r="K443" s="36">
        <f t="shared" ref="K443:K445" si="349">I443*J443</f>
        <v>0.875</v>
      </c>
      <c r="L443" s="36">
        <v>0.57999999999999996</v>
      </c>
      <c r="M443" s="37">
        <f t="shared" ref="M443" si="350">+L443+K443</f>
        <v>1.4550000000000001</v>
      </c>
      <c r="N443" s="39">
        <f>H443*M443</f>
        <v>14884.650000000001</v>
      </c>
      <c r="O443" s="7"/>
      <c r="P443" s="254">
        <f t="shared" si="347"/>
        <v>8951.25</v>
      </c>
      <c r="Q443" s="255">
        <f t="shared" si="348"/>
        <v>5933.4</v>
      </c>
      <c r="R443" s="7"/>
    </row>
    <row r="444" spans="1:18" ht="46.8" x14ac:dyDescent="0.25">
      <c r="A444" s="66">
        <f>IF(G444&lt;&gt;"",1+MAX($A$2:A443),"")</f>
        <v>241</v>
      </c>
      <c r="B444" s="173" t="s">
        <v>109</v>
      </c>
      <c r="C444" s="158" t="s">
        <v>81</v>
      </c>
      <c r="D444" s="159" t="s">
        <v>105</v>
      </c>
      <c r="E444" s="33" t="s">
        <v>7</v>
      </c>
      <c r="F444" s="35">
        <f>10*186.4</f>
        <v>1864</v>
      </c>
      <c r="G444" s="34">
        <v>0.1</v>
      </c>
      <c r="H444" s="35">
        <f>(G444*F444)+F444</f>
        <v>2050.4</v>
      </c>
      <c r="I444" s="190">
        <v>2.5000000000000001E-2</v>
      </c>
      <c r="J444" s="223">
        <v>35</v>
      </c>
      <c r="K444" s="36">
        <f t="shared" si="349"/>
        <v>0.875</v>
      </c>
      <c r="L444" s="36">
        <v>0.57999999999999996</v>
      </c>
      <c r="M444" s="37">
        <f>+L444+K444</f>
        <v>1.4550000000000001</v>
      </c>
      <c r="N444" s="39">
        <f>H444*M444</f>
        <v>2983.3320000000003</v>
      </c>
      <c r="O444" s="7"/>
      <c r="P444" s="254">
        <f t="shared" si="347"/>
        <v>1794.1000000000001</v>
      </c>
      <c r="Q444" s="255">
        <f t="shared" si="348"/>
        <v>1189.232</v>
      </c>
      <c r="R444" s="7"/>
    </row>
    <row r="445" spans="1:18" ht="46.8" x14ac:dyDescent="0.25">
      <c r="A445" s="66">
        <f>IF(G445&lt;&gt;"",1+MAX($A$2:A444),"")</f>
        <v>242</v>
      </c>
      <c r="B445" s="173" t="s">
        <v>109</v>
      </c>
      <c r="C445" s="158" t="s">
        <v>81</v>
      </c>
      <c r="D445" s="159" t="s">
        <v>106</v>
      </c>
      <c r="E445" s="33" t="s">
        <v>7</v>
      </c>
      <c r="F445" s="35">
        <f>10*132.6</f>
        <v>1326</v>
      </c>
      <c r="G445" s="34">
        <v>0.1</v>
      </c>
      <c r="H445" s="35">
        <f>(G445*F445)+F445</f>
        <v>1458.6</v>
      </c>
      <c r="I445" s="190">
        <v>2.5000000000000001E-2</v>
      </c>
      <c r="J445" s="223">
        <v>35</v>
      </c>
      <c r="K445" s="36">
        <f t="shared" si="349"/>
        <v>0.875</v>
      </c>
      <c r="L445" s="36">
        <v>0.57999999999999996</v>
      </c>
      <c r="M445" s="37">
        <f t="shared" ref="M445" si="351">+L445+K445</f>
        <v>1.4550000000000001</v>
      </c>
      <c r="N445" s="39">
        <f>H445*M445</f>
        <v>2122.2629999999999</v>
      </c>
      <c r="O445" s="7"/>
      <c r="P445" s="254">
        <f t="shared" si="347"/>
        <v>1276.2749999999999</v>
      </c>
      <c r="Q445" s="255">
        <f t="shared" si="348"/>
        <v>845.98799999999994</v>
      </c>
      <c r="R445" s="7"/>
    </row>
    <row r="446" spans="1:18" ht="46.8" x14ac:dyDescent="0.25">
      <c r="A446" s="66" t="str">
        <f>IF(G446&lt;&gt;"",1+MAX($A$2:A445),"")</f>
        <v/>
      </c>
      <c r="B446" s="173"/>
      <c r="C446" s="158" t="s">
        <v>304</v>
      </c>
      <c r="D446" s="159" t="s">
        <v>330</v>
      </c>
      <c r="E446" s="58"/>
      <c r="F446" s="35"/>
      <c r="G446" s="34"/>
      <c r="H446" s="35"/>
      <c r="I446" s="190"/>
      <c r="J446" s="223"/>
      <c r="K446" s="36"/>
      <c r="L446" s="36"/>
      <c r="M446" s="37"/>
      <c r="N446" s="39"/>
      <c r="O446" s="7"/>
      <c r="P446" s="254">
        <f t="shared" si="347"/>
        <v>0</v>
      </c>
      <c r="Q446" s="255">
        <f t="shared" si="348"/>
        <v>0</v>
      </c>
      <c r="R446" s="7"/>
    </row>
    <row r="447" spans="1:18" ht="31.2" x14ac:dyDescent="0.25">
      <c r="A447" s="66"/>
      <c r="B447" s="173"/>
      <c r="C447" s="158" t="s">
        <v>210</v>
      </c>
      <c r="D447" s="166" t="s">
        <v>209</v>
      </c>
      <c r="E447" s="58"/>
      <c r="F447" s="35"/>
      <c r="G447" s="34"/>
      <c r="H447" s="35"/>
      <c r="I447" s="190"/>
      <c r="J447" s="223"/>
      <c r="K447" s="36"/>
      <c r="L447" s="36"/>
      <c r="M447" s="37"/>
      <c r="N447" s="39"/>
      <c r="O447" s="7"/>
      <c r="P447" s="254">
        <f t="shared" si="347"/>
        <v>0</v>
      </c>
      <c r="Q447" s="255">
        <f t="shared" si="348"/>
        <v>0</v>
      </c>
      <c r="R447" s="7"/>
    </row>
    <row r="448" spans="1:18" ht="31.8" thickBot="1" x14ac:dyDescent="0.3">
      <c r="A448" s="66"/>
      <c r="B448" s="173"/>
      <c r="C448" s="158" t="s">
        <v>304</v>
      </c>
      <c r="D448" s="166" t="s">
        <v>357</v>
      </c>
      <c r="E448" s="58"/>
      <c r="F448" s="35"/>
      <c r="G448" s="34"/>
      <c r="H448" s="35"/>
      <c r="I448" s="190"/>
      <c r="J448" s="223"/>
      <c r="K448" s="36"/>
      <c r="L448" s="36"/>
      <c r="M448" s="37"/>
      <c r="N448" s="39"/>
      <c r="O448" s="7"/>
      <c r="P448" s="260">
        <f t="shared" si="347"/>
        <v>0</v>
      </c>
      <c r="Q448" s="261">
        <f t="shared" si="348"/>
        <v>0</v>
      </c>
      <c r="R448" s="7"/>
    </row>
    <row r="449" spans="1:18" s="1" customFormat="1" ht="31.8" thickBot="1" x14ac:dyDescent="0.3">
      <c r="A449" s="40" t="str">
        <f>IF(G449&lt;&gt;"",1+MAX($A$2:A448),"")</f>
        <v/>
      </c>
      <c r="B449" s="41"/>
      <c r="C449" s="41"/>
      <c r="D449" s="41"/>
      <c r="E449" s="41"/>
      <c r="F449" s="41"/>
      <c r="G449" s="41"/>
      <c r="H449" s="41"/>
      <c r="I449" s="245"/>
      <c r="J449" s="224"/>
      <c r="K449" s="42"/>
      <c r="L449" s="42"/>
      <c r="M449" s="43" t="s">
        <v>19</v>
      </c>
      <c r="N449" s="44">
        <f>SUM(N441:N448)</f>
        <v>19990.245000000003</v>
      </c>
      <c r="O449" s="7"/>
      <c r="P449" s="271">
        <f t="shared" ref="P449:Q449" si="352">SUM(P441:P448)</f>
        <v>12021.625</v>
      </c>
      <c r="Q449" s="272">
        <f t="shared" si="352"/>
        <v>7968.62</v>
      </c>
      <c r="R449" s="7"/>
    </row>
    <row r="450" spans="1:18" ht="16.2" thickBot="1" x14ac:dyDescent="0.3">
      <c r="A450" s="71" t="str">
        <f>IF(G450&lt;&gt;"",1+MAX($A$2:A449),"")</f>
        <v/>
      </c>
      <c r="B450" s="72"/>
      <c r="C450" s="72"/>
      <c r="D450" s="72"/>
      <c r="E450" s="73"/>
      <c r="F450" s="137"/>
      <c r="G450" s="74"/>
      <c r="H450" s="137"/>
      <c r="I450" s="138"/>
      <c r="J450" s="231"/>
      <c r="K450" s="75"/>
      <c r="L450" s="75"/>
      <c r="M450" s="139"/>
      <c r="N450" s="76"/>
      <c r="O450" s="7"/>
      <c r="P450" s="7"/>
      <c r="Q450" s="7"/>
      <c r="R450" s="7"/>
    </row>
    <row r="451" spans="1:18" ht="20.100000000000001" customHeight="1" x14ac:dyDescent="0.25">
      <c r="A451" s="338" t="s">
        <v>10</v>
      </c>
      <c r="B451" s="339"/>
      <c r="C451" s="339"/>
      <c r="D451" s="339"/>
      <c r="E451" s="339"/>
      <c r="F451" s="339"/>
      <c r="G451" s="339"/>
      <c r="H451" s="339"/>
      <c r="I451" s="339"/>
      <c r="J451" s="339"/>
      <c r="K451" s="339"/>
      <c r="L451" s="340"/>
      <c r="M451" s="262"/>
      <c r="N451" s="263">
        <f>N449</f>
        <v>19990.245000000003</v>
      </c>
    </row>
    <row r="452" spans="1:18" ht="20.100000000000001" customHeight="1" x14ac:dyDescent="0.25">
      <c r="A452" s="107" t="s">
        <v>14</v>
      </c>
      <c r="B452" s="108"/>
      <c r="C452" s="109"/>
      <c r="D452" s="212"/>
      <c r="E452" s="212"/>
      <c r="F452" s="212"/>
      <c r="G452" s="212"/>
      <c r="H452" s="212"/>
      <c r="I452" s="248"/>
      <c r="J452" s="234"/>
      <c r="K452" s="212"/>
      <c r="L452" s="213"/>
      <c r="M452" s="110">
        <v>0.15</v>
      </c>
      <c r="N452" s="111">
        <f>N451*M452</f>
        <v>2998.5367500000002</v>
      </c>
    </row>
    <row r="453" spans="1:18" ht="20.100000000000001" customHeight="1" x14ac:dyDescent="0.25">
      <c r="A453" s="112" t="s">
        <v>3</v>
      </c>
      <c r="B453" s="113"/>
      <c r="C453" s="212"/>
      <c r="D453" s="212"/>
      <c r="E453" s="212"/>
      <c r="F453" s="212"/>
      <c r="G453" s="212"/>
      <c r="H453" s="212"/>
      <c r="I453" s="248"/>
      <c r="J453" s="234"/>
      <c r="K453" s="212"/>
      <c r="L453" s="213"/>
      <c r="M453" s="114">
        <v>0.03</v>
      </c>
      <c r="N453" s="115">
        <f>N451*M453</f>
        <v>599.70735000000002</v>
      </c>
    </row>
    <row r="454" spans="1:18" ht="20.100000000000001" customHeight="1" x14ac:dyDescent="0.25">
      <c r="A454" s="112" t="s">
        <v>12</v>
      </c>
      <c r="B454" s="113"/>
      <c r="C454" s="212"/>
      <c r="D454" s="212"/>
      <c r="E454" s="212"/>
      <c r="F454" s="212"/>
      <c r="G454" s="212"/>
      <c r="H454" s="212"/>
      <c r="I454" s="248"/>
      <c r="J454" s="234"/>
      <c r="K454" s="212"/>
      <c r="L454" s="213"/>
      <c r="M454" s="114">
        <v>0.05</v>
      </c>
      <c r="N454" s="111">
        <f>N451*M454</f>
        <v>999.51225000000022</v>
      </c>
    </row>
    <row r="455" spans="1:18" ht="20.100000000000001" customHeight="1" thickBot="1" x14ac:dyDescent="0.3">
      <c r="A455" s="203" t="s">
        <v>21</v>
      </c>
      <c r="B455" s="204"/>
      <c r="C455" s="205"/>
      <c r="D455" s="205"/>
      <c r="E455" s="205"/>
      <c r="F455" s="205"/>
      <c r="G455" s="205"/>
      <c r="H455" s="205"/>
      <c r="I455" s="249"/>
      <c r="J455" s="235"/>
      <c r="K455" s="205"/>
      <c r="L455" s="206"/>
      <c r="M455" s="264">
        <v>9.0999999999999998E-2</v>
      </c>
      <c r="N455" s="111">
        <f>Q449*M455</f>
        <v>725.14441999999997</v>
      </c>
    </row>
    <row r="456" spans="1:18" ht="20.100000000000001" customHeight="1" thickBot="1" x14ac:dyDescent="0.3">
      <c r="A456" s="323" t="s">
        <v>11</v>
      </c>
      <c r="B456" s="324"/>
      <c r="C456" s="324"/>
      <c r="D456" s="324"/>
      <c r="E456" s="324"/>
      <c r="F456" s="324"/>
      <c r="G456" s="324"/>
      <c r="H456" s="324"/>
      <c r="I456" s="324"/>
      <c r="J456" s="324"/>
      <c r="K456" s="324"/>
      <c r="L456" s="324"/>
      <c r="M456" s="324"/>
      <c r="N456" s="265">
        <f>N451+N452+N453+N454+N455</f>
        <v>25313.145770000003</v>
      </c>
    </row>
    <row r="457" spans="1:18" ht="20.100000000000001" customHeight="1" thickBot="1" x14ac:dyDescent="0.3">
      <c r="A457" s="266" t="s">
        <v>60</v>
      </c>
      <c r="B457" s="267"/>
      <c r="C457" s="268"/>
      <c r="D457" s="141"/>
      <c r="E457" s="141"/>
      <c r="F457" s="141"/>
      <c r="G457" s="141"/>
      <c r="H457" s="141"/>
      <c r="I457" s="251"/>
      <c r="J457" s="237"/>
      <c r="K457" s="141"/>
      <c r="L457" s="141"/>
      <c r="M457" s="142"/>
      <c r="N457" s="116"/>
    </row>
    <row r="458" spans="1:18" ht="20.100000000000001" customHeight="1" x14ac:dyDescent="0.25">
      <c r="A458" s="117" t="s">
        <v>58</v>
      </c>
      <c r="B458" s="143"/>
      <c r="C458" s="143"/>
      <c r="D458" s="141"/>
      <c r="E458" s="141"/>
      <c r="F458" s="141"/>
      <c r="G458" s="141"/>
      <c r="H458" s="141"/>
      <c r="I458" s="251"/>
      <c r="J458" s="237"/>
      <c r="K458" s="141"/>
      <c r="L458" s="141"/>
      <c r="M458" s="142"/>
      <c r="N458" s="116" t="s">
        <v>25</v>
      </c>
    </row>
    <row r="459" spans="1:18" ht="20.100000000000001" customHeight="1" x14ac:dyDescent="0.25">
      <c r="A459" s="117" t="s">
        <v>59</v>
      </c>
      <c r="B459" s="143"/>
      <c r="C459" s="143"/>
      <c r="D459" s="141"/>
      <c r="E459" s="141"/>
      <c r="F459" s="141"/>
      <c r="G459" s="141"/>
      <c r="H459" s="141"/>
      <c r="I459" s="251"/>
      <c r="J459" s="237"/>
      <c r="K459" s="141"/>
      <c r="L459" s="141"/>
      <c r="M459" s="142"/>
      <c r="N459" s="116"/>
    </row>
    <row r="460" spans="1:18" ht="15.75" customHeight="1" thickBot="1" x14ac:dyDescent="0.3">
      <c r="A460" s="118"/>
      <c r="B460" s="119"/>
      <c r="C460" s="119"/>
      <c r="D460" s="120"/>
      <c r="E460" s="120"/>
      <c r="F460" s="120"/>
      <c r="G460" s="120"/>
      <c r="H460" s="120"/>
      <c r="I460" s="252"/>
      <c r="J460" s="238"/>
      <c r="K460" s="120"/>
      <c r="L460" s="120"/>
      <c r="M460" s="121"/>
      <c r="N460" s="122"/>
    </row>
  </sheetData>
  <sortState xmlns:xlrd2="http://schemas.microsoft.com/office/spreadsheetml/2017/richdata2" ref="A189:R191">
    <sortCondition ref="D191"/>
  </sortState>
  <mergeCells count="57">
    <mergeCell ref="A437:M437"/>
    <mergeCell ref="A432:L432"/>
    <mergeCell ref="B121:B123"/>
    <mergeCell ref="C121:C123"/>
    <mergeCell ref="C130:C132"/>
    <mergeCell ref="B130:B132"/>
    <mergeCell ref="C234:C238"/>
    <mergeCell ref="B234:B238"/>
    <mergeCell ref="C224:C228"/>
    <mergeCell ref="B224:B228"/>
    <mergeCell ref="C219:C223"/>
    <mergeCell ref="B271:B275"/>
    <mergeCell ref="C204:C208"/>
    <mergeCell ref="B204:B208"/>
    <mergeCell ref="B209:B213"/>
    <mergeCell ref="C209:C213"/>
    <mergeCell ref="A2:N2"/>
    <mergeCell ref="C64:C66"/>
    <mergeCell ref="B24:B25"/>
    <mergeCell ref="C24:C25"/>
    <mergeCell ref="A451:L451"/>
    <mergeCell ref="C112:C113"/>
    <mergeCell ref="B57:B58"/>
    <mergeCell ref="C57:C58"/>
    <mergeCell ref="B80:B83"/>
    <mergeCell ref="B339:B380"/>
    <mergeCell ref="B385:B411"/>
    <mergeCell ref="B416:B429"/>
    <mergeCell ref="C135:C137"/>
    <mergeCell ref="B135:B137"/>
    <mergeCell ref="B138:B140"/>
    <mergeCell ref="C138:C140"/>
    <mergeCell ref="A456:M456"/>
    <mergeCell ref="B27:B28"/>
    <mergeCell ref="B69:B73"/>
    <mergeCell ref="C326:C328"/>
    <mergeCell ref="C115:C116"/>
    <mergeCell ref="B326:B329"/>
    <mergeCell ref="B320:B321"/>
    <mergeCell ref="C320:C321"/>
    <mergeCell ref="B64:B65"/>
    <mergeCell ref="B104:B109"/>
    <mergeCell ref="C105:C108"/>
    <mergeCell ref="B266:B269"/>
    <mergeCell ref="C266:C269"/>
    <mergeCell ref="C271:C275"/>
    <mergeCell ref="C143:C144"/>
    <mergeCell ref="B112:B113"/>
    <mergeCell ref="B143:B144"/>
    <mergeCell ref="B219:B223"/>
    <mergeCell ref="C214:C218"/>
    <mergeCell ref="B214:B218"/>
    <mergeCell ref="B229:B233"/>
    <mergeCell ref="C229:C233"/>
    <mergeCell ref="C168:C172"/>
    <mergeCell ref="C174:C179"/>
    <mergeCell ref="B165:B179"/>
  </mergeCells>
  <phoneticPr fontId="26" type="noConversion"/>
  <printOptions horizontalCentered="1"/>
  <pageMargins left="0.7" right="0.7" top="0.75" bottom="0.75" header="0.3" footer="0.3"/>
  <pageSetup paperSize="9" scale="53" fitToHeight="0" orientation="landscape" r:id="rId1"/>
  <headerFooter scaleWithDoc="0" alignWithMargins="0"/>
  <ignoredErrors>
    <ignoredError sqref="M45" formula="1"/>
  </ignoredError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7D6EFA99-1A5C-43E8-A6AC-5FA3F197DC7F}">
  <ds:schemaRefs>
    <ds:schemaRef ds:uri="http://www.w3.org/2001/XMLSchem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Takeoff Breakdown</vt:lpstr>
      <vt:lpstr>'Takeoff Breakdown'!Print_Area</vt:lpstr>
      <vt:lpstr>'Takeoff Breakdown'!Print_Titles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NEDES</dc:creator>
  <cp:lastModifiedBy>DYNAMIC ESTIMATION</cp:lastModifiedBy>
  <cp:lastPrinted>2024-07-12T19:55:20Z</cp:lastPrinted>
  <dcterms:created xsi:type="dcterms:W3CDTF">2016-03-30T11:57:46Z</dcterms:created>
  <dcterms:modified xsi:type="dcterms:W3CDTF">2026-05-31T15:21:39Z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S9Connected">
    <vt:bool>true</vt:bool>
  </property>
  <property fmtid="{D5CDD505-2E9C-101B-9397-08002B2CF9AE}" pid="3" name="PlanSwiftJobName">
    <vt:lpwstr/>
  </property>
  <property fmtid="{D5CDD505-2E9C-101B-9397-08002B2CF9AE}" pid="4" name="PlanSwiftJobGuid">
    <vt:lpwstr/>
  </property>
  <property fmtid="{D5CDD505-2E9C-101B-9397-08002B2CF9AE}" pid="5" name="LinkedDataId">
    <vt:lpwstr>{7D6EFA99-1A5C-43E8-A6AC-5FA3F197DC7F}</vt:lpwstr>
  </property>
</Properties>
</file>