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Projects\3206\05\"/>
    </mc:Choice>
  </mc:AlternateContent>
  <xr:revisionPtr revIDLastSave="0" documentId="13_ncr:1_{4E4D81CB-9442-4579-8B53-F2231A644172}" xr6:coauthVersionLast="47" xr6:coauthVersionMax="47" xr10:uidLastSave="{00000000-0000-0000-0000-000000000000}"/>
  <bookViews>
    <workbookView xWindow="-120" yWindow="-120" windowWidth="20730" windowHeight="11160" activeTab="1" xr2:uid="{00000000-000D-0000-FFFF-FFFF00000000}"/>
  </bookViews>
  <sheets>
    <sheet name="General Summary" sheetId="4" r:id="rId1"/>
    <sheet name="Takeoff Breakdown" sheetId="1" r:id="rId2"/>
  </sheets>
  <definedNames>
    <definedName name="_xlnm._FilterDatabase" localSheetId="1" hidden="1">'Takeoff Breakdown'!$A$21:$T$543</definedName>
    <definedName name="_xlnm.Print_Area" localSheetId="0">'General Summary'!$A$1:$L$33</definedName>
    <definedName name="_xlnm.Print_Area" localSheetId="1">'Takeoff Breakdown'!$A$2:$N$543</definedName>
    <definedName name="_xlnm.Print_Titles" localSheetId="1">'Takeoff Breakdown'!$1:$10</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409" i="1" l="1"/>
  <c r="K353" i="1" l="1"/>
  <c r="M353" i="1" s="1"/>
  <c r="P354" i="1"/>
  <c r="Q354" i="1"/>
  <c r="P356" i="1"/>
  <c r="Q356" i="1"/>
  <c r="K357" i="1"/>
  <c r="M357" i="1" s="1"/>
  <c r="H357" i="1"/>
  <c r="Q357" i="1" s="1"/>
  <c r="A356" i="1"/>
  <c r="K355" i="1"/>
  <c r="M355" i="1" s="1"/>
  <c r="H355" i="1"/>
  <c r="Q355" i="1" s="1"/>
  <c r="A354" i="1"/>
  <c r="A352" i="1"/>
  <c r="P352" i="1"/>
  <c r="Q352" i="1"/>
  <c r="H353" i="1"/>
  <c r="Q353" i="1" s="1"/>
  <c r="N355" i="1" l="1"/>
  <c r="N353" i="1"/>
  <c r="N357" i="1"/>
  <c r="P355" i="1"/>
  <c r="P357" i="1"/>
  <c r="P353" i="1"/>
  <c r="J535" i="1" l="1"/>
  <c r="K535" i="1" s="1"/>
  <c r="J534" i="1"/>
  <c r="J533" i="1"/>
  <c r="J531" i="1"/>
  <c r="J530" i="1"/>
  <c r="J529" i="1"/>
  <c r="J528" i="1"/>
  <c r="J526" i="1"/>
  <c r="J525" i="1"/>
  <c r="J524" i="1"/>
  <c r="J523" i="1"/>
  <c r="J521" i="1"/>
  <c r="J519" i="1"/>
  <c r="J518" i="1"/>
  <c r="J517" i="1"/>
  <c r="J516" i="1"/>
  <c r="J513" i="1"/>
  <c r="J511" i="1"/>
  <c r="J509" i="1"/>
  <c r="K509" i="1" s="1"/>
  <c r="J508" i="1"/>
  <c r="J507" i="1"/>
  <c r="J505" i="1"/>
  <c r="J504" i="1"/>
  <c r="J503" i="1"/>
  <c r="J501" i="1"/>
  <c r="J500" i="1"/>
  <c r="J499" i="1"/>
  <c r="J498" i="1"/>
  <c r="J497" i="1"/>
  <c r="J495" i="1"/>
  <c r="J493" i="1"/>
  <c r="J492" i="1"/>
  <c r="K519" i="1"/>
  <c r="K518" i="1"/>
  <c r="L511" i="1"/>
  <c r="K508" i="1"/>
  <c r="K507" i="1"/>
  <c r="K505" i="1"/>
  <c r="K493" i="1" l="1"/>
  <c r="J484" i="1" l="1"/>
  <c r="J483" i="1"/>
  <c r="J482" i="1"/>
  <c r="J480" i="1"/>
  <c r="J479" i="1"/>
  <c r="J478" i="1"/>
  <c r="J476" i="1"/>
  <c r="J475" i="1"/>
  <c r="J474" i="1"/>
  <c r="J472" i="1"/>
  <c r="F484" i="1"/>
  <c r="F474" i="1"/>
  <c r="F472" i="1"/>
  <c r="J464" i="1"/>
  <c r="J463" i="1"/>
  <c r="J462" i="1"/>
  <c r="J461" i="1"/>
  <c r="P454" i="1"/>
  <c r="Q454" i="1"/>
  <c r="J329" i="1"/>
  <c r="J327" i="1"/>
  <c r="J325" i="1"/>
  <c r="J322" i="1"/>
  <c r="J321" i="1"/>
  <c r="J319" i="1"/>
  <c r="J318" i="1"/>
  <c r="J317" i="1"/>
  <c r="J316" i="1"/>
  <c r="J315" i="1"/>
  <c r="J313" i="1"/>
  <c r="J311" i="1"/>
  <c r="J308" i="1"/>
  <c r="J307" i="1"/>
  <c r="J304" i="1"/>
  <c r="J301" i="1"/>
  <c r="J299" i="1"/>
  <c r="J296" i="1"/>
  <c r="J294" i="1"/>
  <c r="J291" i="1"/>
  <c r="J289" i="1"/>
  <c r="J288" i="1"/>
  <c r="J287" i="1"/>
  <c r="P377" i="1" l="1"/>
  <c r="Q377" i="1"/>
  <c r="A379" i="1"/>
  <c r="J58" i="1"/>
  <c r="J57" i="1"/>
  <c r="J55" i="1"/>
  <c r="J53" i="1"/>
  <c r="J52" i="1"/>
  <c r="J51" i="1"/>
  <c r="J50" i="1"/>
  <c r="J49" i="1"/>
  <c r="J48" i="1"/>
  <c r="J47" i="1"/>
  <c r="J46" i="1"/>
  <c r="J45" i="1"/>
  <c r="J44" i="1"/>
  <c r="J43" i="1"/>
  <c r="J42" i="1"/>
  <c r="J41" i="1"/>
  <c r="J40" i="1"/>
  <c r="J39" i="1"/>
  <c r="J38" i="1"/>
  <c r="J37" i="1"/>
  <c r="J36" i="1"/>
  <c r="J35" i="1"/>
  <c r="J34" i="1"/>
  <c r="J33" i="1"/>
  <c r="J32" i="1"/>
  <c r="J31" i="1"/>
  <c r="J30" i="1"/>
  <c r="J29" i="1"/>
  <c r="J28" i="1"/>
  <c r="J27" i="1"/>
  <c r="J26" i="1"/>
  <c r="J25" i="1"/>
  <c r="J24" i="1"/>
  <c r="J280" i="1" l="1"/>
  <c r="J279" i="1"/>
  <c r="J277" i="1"/>
  <c r="J276" i="1"/>
  <c r="L268" i="1"/>
  <c r="J223" i="1"/>
  <c r="K223" i="1" s="1"/>
  <c r="J222" i="1"/>
  <c r="K222" i="1" s="1"/>
  <c r="J220" i="1"/>
  <c r="K220" i="1" s="1"/>
  <c r="J219" i="1"/>
  <c r="K219" i="1" s="1"/>
  <c r="J218" i="1"/>
  <c r="K218" i="1" s="1"/>
  <c r="J217" i="1"/>
  <c r="K217" i="1" s="1"/>
  <c r="J224" i="1"/>
  <c r="K224" i="1" s="1"/>
  <c r="J225" i="1"/>
  <c r="K225" i="1" s="1"/>
  <c r="J213" i="1"/>
  <c r="K213" i="1" s="1"/>
  <c r="L211" i="1"/>
  <c r="J211" i="1"/>
  <c r="I211" i="1"/>
  <c r="L210" i="1"/>
  <c r="J210" i="1"/>
  <c r="I210" i="1"/>
  <c r="L209" i="1"/>
  <c r="J209" i="1"/>
  <c r="I209" i="1"/>
  <c r="J208" i="1"/>
  <c r="K208" i="1" s="1"/>
  <c r="J207" i="1"/>
  <c r="K207" i="1" s="1"/>
  <c r="J206" i="1"/>
  <c r="K206" i="1" s="1"/>
  <c r="L198" i="1"/>
  <c r="J198" i="1"/>
  <c r="I198" i="1"/>
  <c r="L197" i="1"/>
  <c r="I197" i="1"/>
  <c r="L230" i="1"/>
  <c r="J270" i="1"/>
  <c r="L254" i="1"/>
  <c r="J254" i="1"/>
  <c r="I254" i="1"/>
  <c r="K254" i="1" s="1"/>
  <c r="L253" i="1"/>
  <c r="I253" i="1"/>
  <c r="I247" i="1"/>
  <c r="L247" i="1"/>
  <c r="J247" i="1"/>
  <c r="L246" i="1"/>
  <c r="J246" i="1"/>
  <c r="I246" i="1"/>
  <c r="L245" i="1"/>
  <c r="J245" i="1"/>
  <c r="I245" i="1"/>
  <c r="L244" i="1"/>
  <c r="J244" i="1"/>
  <c r="I244" i="1"/>
  <c r="L243" i="1"/>
  <c r="I243" i="1"/>
  <c r="J263" i="1"/>
  <c r="J262" i="1"/>
  <c r="J256" i="1"/>
  <c r="J258" i="1"/>
  <c r="J253" i="1"/>
  <c r="J252" i="1"/>
  <c r="J243" i="1"/>
  <c r="J238" i="1"/>
  <c r="J235" i="1"/>
  <c r="J234" i="1"/>
  <c r="J233" i="1"/>
  <c r="J231" i="1"/>
  <c r="J230" i="1"/>
  <c r="J229" i="1"/>
  <c r="J221" i="1"/>
  <c r="J212" i="1"/>
  <c r="J205" i="1"/>
  <c r="J201" i="1"/>
  <c r="J200" i="1"/>
  <c r="J199" i="1"/>
  <c r="J197" i="1"/>
  <c r="J196" i="1"/>
  <c r="J195" i="1"/>
  <c r="J194" i="1"/>
  <c r="J193" i="1"/>
  <c r="L177" i="1"/>
  <c r="J178" i="1"/>
  <c r="I178" i="1"/>
  <c r="I176" i="1"/>
  <c r="I175" i="1"/>
  <c r="L173" i="1"/>
  <c r="L175" i="1" s="1"/>
  <c r="L174" i="1"/>
  <c r="L178" i="1" s="1"/>
  <c r="L170" i="1"/>
  <c r="L169" i="1"/>
  <c r="L168" i="1"/>
  <c r="L167" i="1"/>
  <c r="L166" i="1"/>
  <c r="L165" i="1"/>
  <c r="L163" i="1"/>
  <c r="L164" i="1" s="1"/>
  <c r="L184" i="1"/>
  <c r="L183" i="1"/>
  <c r="L153" i="1"/>
  <c r="L152" i="1"/>
  <c r="L151" i="1"/>
  <c r="L150" i="1"/>
  <c r="L147" i="1"/>
  <c r="I147" i="1"/>
  <c r="L145" i="1"/>
  <c r="J145" i="1"/>
  <c r="I145" i="1"/>
  <c r="L143" i="1"/>
  <c r="I143" i="1"/>
  <c r="J184" i="1"/>
  <c r="J183" i="1"/>
  <c r="J179" i="1"/>
  <c r="J177" i="1"/>
  <c r="J176" i="1"/>
  <c r="J175" i="1"/>
  <c r="J174" i="1"/>
  <c r="J173" i="1"/>
  <c r="J170" i="1"/>
  <c r="J169" i="1"/>
  <c r="J168" i="1"/>
  <c r="J167" i="1"/>
  <c r="J166" i="1"/>
  <c r="J165" i="1"/>
  <c r="J164" i="1"/>
  <c r="J163" i="1"/>
  <c r="J160" i="1"/>
  <c r="J159" i="1"/>
  <c r="J158" i="1"/>
  <c r="J156" i="1"/>
  <c r="J154" i="1"/>
  <c r="J153" i="1"/>
  <c r="J152" i="1"/>
  <c r="J151" i="1"/>
  <c r="J150" i="1"/>
  <c r="J148" i="1"/>
  <c r="J147" i="1"/>
  <c r="J146" i="1"/>
  <c r="J144" i="1"/>
  <c r="J143" i="1"/>
  <c r="I132" i="1"/>
  <c r="L132" i="1"/>
  <c r="L137" i="1"/>
  <c r="I137" i="1"/>
  <c r="L117" i="1"/>
  <c r="J137" i="1"/>
  <c r="J136" i="1"/>
  <c r="J133" i="1"/>
  <c r="J132" i="1"/>
  <c r="J131" i="1"/>
  <c r="J128" i="1"/>
  <c r="J126" i="1"/>
  <c r="J125" i="1"/>
  <c r="J124" i="1"/>
  <c r="J123" i="1"/>
  <c r="J122" i="1"/>
  <c r="J121" i="1"/>
  <c r="J119" i="1"/>
  <c r="J118" i="1"/>
  <c r="J117" i="1"/>
  <c r="L107" i="1"/>
  <c r="I103" i="1"/>
  <c r="M535" i="1"/>
  <c r="H535" i="1"/>
  <c r="K455" i="1"/>
  <c r="H455" i="1"/>
  <c r="Q455" i="1" s="1"/>
  <c r="A454" i="1"/>
  <c r="K378" i="1"/>
  <c r="H378" i="1"/>
  <c r="Q378" i="1" s="1"/>
  <c r="A377" i="1"/>
  <c r="K245" i="1" l="1"/>
  <c r="K247" i="1"/>
  <c r="K210" i="1"/>
  <c r="Q535" i="1"/>
  <c r="P535" i="1"/>
  <c r="M455" i="1"/>
  <c r="N455" i="1" s="1"/>
  <c r="P455" i="1"/>
  <c r="M378" i="1"/>
  <c r="N378" i="1" s="1"/>
  <c r="P378" i="1"/>
  <c r="L176" i="1"/>
  <c r="N535" i="1"/>
  <c r="K145" i="1"/>
  <c r="K178" i="1"/>
  <c r="K244" i="1"/>
  <c r="K209" i="1"/>
  <c r="K246" i="1"/>
  <c r="K198" i="1"/>
  <c r="K211" i="1"/>
  <c r="L95" i="1" l="1"/>
  <c r="J109" i="1"/>
  <c r="J108" i="1"/>
  <c r="J107" i="1"/>
  <c r="J106" i="1"/>
  <c r="J105" i="1"/>
  <c r="J104" i="1"/>
  <c r="J100" i="1"/>
  <c r="J99" i="1"/>
  <c r="J98" i="1"/>
  <c r="J97" i="1"/>
  <c r="J80" i="1"/>
  <c r="J79" i="1"/>
  <c r="L89" i="1"/>
  <c r="J89" i="1"/>
  <c r="I69" i="1"/>
  <c r="J73" i="1"/>
  <c r="J69" i="1"/>
  <c r="J65" i="1"/>
  <c r="Q54" i="1"/>
  <c r="Q56" i="1"/>
  <c r="Q59" i="1"/>
  <c r="Q60" i="1"/>
  <c r="Q61" i="1"/>
  <c r="Q62" i="1"/>
  <c r="Q63" i="1"/>
  <c r="Q68" i="1"/>
  <c r="Q72" i="1"/>
  <c r="Q74" i="1"/>
  <c r="Q75" i="1"/>
  <c r="Q76" i="1"/>
  <c r="Q77" i="1"/>
  <c r="Q81" i="1"/>
  <c r="Q82" i="1"/>
  <c r="Q83" i="1"/>
  <c r="Q84" i="1"/>
  <c r="Q85" i="1"/>
  <c r="Q87" i="1"/>
  <c r="Q88" i="1"/>
  <c r="Q90" i="1"/>
  <c r="Q91" i="1"/>
  <c r="Q92" i="1"/>
  <c r="Q93" i="1"/>
  <c r="Q94" i="1"/>
  <c r="Q96" i="1"/>
  <c r="Q101" i="1"/>
  <c r="Q102" i="1"/>
  <c r="Q110" i="1"/>
  <c r="Q111" i="1"/>
  <c r="Q112" i="1"/>
  <c r="Q113" i="1"/>
  <c r="Q114" i="1"/>
  <c r="Q115" i="1"/>
  <c r="Q120" i="1"/>
  <c r="Q127" i="1"/>
  <c r="Q129" i="1"/>
  <c r="Q130" i="1"/>
  <c r="Q134" i="1"/>
  <c r="Q135" i="1"/>
  <c r="Q138" i="1"/>
  <c r="Q139" i="1"/>
  <c r="Q140" i="1"/>
  <c r="Q141" i="1"/>
  <c r="Q149" i="1"/>
  <c r="Q155" i="1"/>
  <c r="Q157" i="1"/>
  <c r="Q161" i="1"/>
  <c r="Q162" i="1"/>
  <c r="Q171" i="1"/>
  <c r="Q172" i="1"/>
  <c r="Q180" i="1"/>
  <c r="Q181" i="1"/>
  <c r="Q182" i="1"/>
  <c r="Q185" i="1"/>
  <c r="Q186" i="1"/>
  <c r="Q187" i="1"/>
  <c r="Q188" i="1"/>
  <c r="Q189" i="1"/>
  <c r="Q202" i="1"/>
  <c r="Q214" i="1"/>
  <c r="Q226" i="1"/>
  <c r="Q227" i="1"/>
  <c r="Q232" i="1"/>
  <c r="Q236" i="1"/>
  <c r="Q237" i="1"/>
  <c r="Q239" i="1"/>
  <c r="Q240" i="1"/>
  <c r="Q241" i="1"/>
  <c r="Q248" i="1"/>
  <c r="Q249" i="1"/>
  <c r="Q251" i="1"/>
  <c r="Q255" i="1"/>
  <c r="Q257" i="1"/>
  <c r="Q259" i="1"/>
  <c r="Q260" i="1"/>
  <c r="Q264" i="1"/>
  <c r="Q265" i="1"/>
  <c r="Q266" i="1"/>
  <c r="Q267" i="1"/>
  <c r="Q269" i="1"/>
  <c r="Q271" i="1"/>
  <c r="Q272" i="1"/>
  <c r="Q273" i="1"/>
  <c r="Q274" i="1"/>
  <c r="Q278" i="1"/>
  <c r="Q281" i="1"/>
  <c r="Q282" i="1"/>
  <c r="Q283" i="1"/>
  <c r="Q284" i="1"/>
  <c r="Q285" i="1"/>
  <c r="Q290" i="1"/>
  <c r="Q292" i="1"/>
  <c r="Q293" i="1"/>
  <c r="Q295" i="1"/>
  <c r="Q297" i="1"/>
  <c r="Q298" i="1"/>
  <c r="Q300" i="1"/>
  <c r="Q302" i="1"/>
  <c r="Q303" i="1"/>
  <c r="Q305" i="1"/>
  <c r="Q306" i="1"/>
  <c r="Q309" i="1"/>
  <c r="Q310" i="1"/>
  <c r="Q312" i="1"/>
  <c r="Q314" i="1"/>
  <c r="Q320" i="1"/>
  <c r="Q323" i="1"/>
  <c r="Q324" i="1"/>
  <c r="Q326" i="1"/>
  <c r="Q328" i="1"/>
  <c r="Q330" i="1"/>
  <c r="Q331" i="1"/>
  <c r="Q332" i="1"/>
  <c r="Q333" i="1"/>
  <c r="Q334" i="1"/>
  <c r="Q336" i="1"/>
  <c r="Q338" i="1"/>
  <c r="Q339" i="1"/>
  <c r="Q344" i="1"/>
  <c r="Q350" i="1"/>
  <c r="Q358" i="1"/>
  <c r="Q359" i="1"/>
  <c r="Q362" i="1"/>
  <c r="Q365" i="1"/>
  <c r="Q368" i="1"/>
  <c r="Q369" i="1"/>
  <c r="Q373" i="1"/>
  <c r="Q379" i="1"/>
  <c r="Q381" i="1"/>
  <c r="Q387" i="1"/>
  <c r="Q389" i="1"/>
  <c r="Q391" i="1"/>
  <c r="Q392" i="1"/>
  <c r="Q398" i="1"/>
  <c r="Q400" i="1"/>
  <c r="Q402" i="1"/>
  <c r="Q404" i="1"/>
  <c r="Q405" i="1"/>
  <c r="Q406" i="1"/>
  <c r="Q408" i="1"/>
  <c r="Q410" i="1"/>
  <c r="Q415" i="1"/>
  <c r="Q417" i="1"/>
  <c r="Q418" i="1"/>
  <c r="Q419" i="1"/>
  <c r="Q427" i="1"/>
  <c r="Q428" i="1"/>
  <c r="Q429" i="1"/>
  <c r="Q430" i="1"/>
  <c r="Q439" i="1"/>
  <c r="Q440" i="1"/>
  <c r="Q441" i="1"/>
  <c r="Q444" i="1"/>
  <c r="Q452" i="1"/>
  <c r="Q456" i="1"/>
  <c r="Q457" i="1"/>
  <c r="Q458" i="1"/>
  <c r="Q465" i="1"/>
  <c r="Q466" i="1"/>
  <c r="Q467" i="1"/>
  <c r="Q468" i="1"/>
  <c r="Q470" i="1"/>
  <c r="Q471" i="1"/>
  <c r="Q473" i="1"/>
  <c r="Q477" i="1"/>
  <c r="Q481" i="1"/>
  <c r="Q485" i="1"/>
  <c r="Q486" i="1"/>
  <c r="Q487" i="1"/>
  <c r="Q488" i="1"/>
  <c r="Q490" i="1"/>
  <c r="Q494" i="1"/>
  <c r="Q496" i="1"/>
  <c r="Q502" i="1"/>
  <c r="Q506" i="1"/>
  <c r="Q510" i="1"/>
  <c r="Q512" i="1"/>
  <c r="Q514" i="1"/>
  <c r="Q515" i="1"/>
  <c r="Q520" i="1"/>
  <c r="Q522" i="1"/>
  <c r="Q527" i="1"/>
  <c r="Q532" i="1"/>
  <c r="P54" i="1"/>
  <c r="P56" i="1"/>
  <c r="P59" i="1"/>
  <c r="P60" i="1"/>
  <c r="P61" i="1"/>
  <c r="P62" i="1"/>
  <c r="P63" i="1"/>
  <c r="P68" i="1"/>
  <c r="P72" i="1"/>
  <c r="P74" i="1"/>
  <c r="P75" i="1"/>
  <c r="P76" i="1"/>
  <c r="P77" i="1"/>
  <c r="P81" i="1"/>
  <c r="P82" i="1"/>
  <c r="P83" i="1"/>
  <c r="P84" i="1"/>
  <c r="P85" i="1"/>
  <c r="P87" i="1"/>
  <c r="P88" i="1"/>
  <c r="P90" i="1"/>
  <c r="P91" i="1"/>
  <c r="P92" i="1"/>
  <c r="P93" i="1"/>
  <c r="P94" i="1"/>
  <c r="P96" i="1"/>
  <c r="P101" i="1"/>
  <c r="P102" i="1"/>
  <c r="P110" i="1"/>
  <c r="P111" i="1"/>
  <c r="P112" i="1"/>
  <c r="P113" i="1"/>
  <c r="P114" i="1"/>
  <c r="P115" i="1"/>
  <c r="P120" i="1"/>
  <c r="P127" i="1"/>
  <c r="P129" i="1"/>
  <c r="P130" i="1"/>
  <c r="P134" i="1"/>
  <c r="P135" i="1"/>
  <c r="P138" i="1"/>
  <c r="P139" i="1"/>
  <c r="P140" i="1"/>
  <c r="P141" i="1"/>
  <c r="P149" i="1"/>
  <c r="P155" i="1"/>
  <c r="P157" i="1"/>
  <c r="P161" i="1"/>
  <c r="P162" i="1"/>
  <c r="P171" i="1"/>
  <c r="P172" i="1"/>
  <c r="P180" i="1"/>
  <c r="P181" i="1"/>
  <c r="P182" i="1"/>
  <c r="P185" i="1"/>
  <c r="P186" i="1"/>
  <c r="P187" i="1"/>
  <c r="P188" i="1"/>
  <c r="P189" i="1"/>
  <c r="P202" i="1"/>
  <c r="P214" i="1"/>
  <c r="P226" i="1"/>
  <c r="P227" i="1"/>
  <c r="P232" i="1"/>
  <c r="P236" i="1"/>
  <c r="P237" i="1"/>
  <c r="P239" i="1"/>
  <c r="P240" i="1"/>
  <c r="P241" i="1"/>
  <c r="P248" i="1"/>
  <c r="P249" i="1"/>
  <c r="P251" i="1"/>
  <c r="P255" i="1"/>
  <c r="P257" i="1"/>
  <c r="P259" i="1"/>
  <c r="P260" i="1"/>
  <c r="P264" i="1"/>
  <c r="P265" i="1"/>
  <c r="P266" i="1"/>
  <c r="P267" i="1"/>
  <c r="P269" i="1"/>
  <c r="P271" i="1"/>
  <c r="P272" i="1"/>
  <c r="P273" i="1"/>
  <c r="P274" i="1"/>
  <c r="P278" i="1"/>
  <c r="P281" i="1"/>
  <c r="P282" i="1"/>
  <c r="P283" i="1"/>
  <c r="P284" i="1"/>
  <c r="P285" i="1"/>
  <c r="P290" i="1"/>
  <c r="P292" i="1"/>
  <c r="P293" i="1"/>
  <c r="P295" i="1"/>
  <c r="P297" i="1"/>
  <c r="P298" i="1"/>
  <c r="P300" i="1"/>
  <c r="P302" i="1"/>
  <c r="P303" i="1"/>
  <c r="P305" i="1"/>
  <c r="P306" i="1"/>
  <c r="P309" i="1"/>
  <c r="P310" i="1"/>
  <c r="P312" i="1"/>
  <c r="P314" i="1"/>
  <c r="P320" i="1"/>
  <c r="P323" i="1"/>
  <c r="P324" i="1"/>
  <c r="P326" i="1"/>
  <c r="P328" i="1"/>
  <c r="P330" i="1"/>
  <c r="P331" i="1"/>
  <c r="P332" i="1"/>
  <c r="P333" i="1"/>
  <c r="P334" i="1"/>
  <c r="P336" i="1"/>
  <c r="P338" i="1"/>
  <c r="P339" i="1"/>
  <c r="P344" i="1"/>
  <c r="P350" i="1"/>
  <c r="P358" i="1"/>
  <c r="P359" i="1"/>
  <c r="P362" i="1"/>
  <c r="P365" i="1"/>
  <c r="P368" i="1"/>
  <c r="P369" i="1"/>
  <c r="P373" i="1"/>
  <c r="P379" i="1"/>
  <c r="P381" i="1"/>
  <c r="P387" i="1"/>
  <c r="P389" i="1"/>
  <c r="P391" i="1"/>
  <c r="P392" i="1"/>
  <c r="P398" i="1"/>
  <c r="P400" i="1"/>
  <c r="P402" i="1"/>
  <c r="P404" i="1"/>
  <c r="P405" i="1"/>
  <c r="P406" i="1"/>
  <c r="P408" i="1"/>
  <c r="P410" i="1"/>
  <c r="P415" i="1"/>
  <c r="P417" i="1"/>
  <c r="P418" i="1"/>
  <c r="P419" i="1"/>
  <c r="P427" i="1"/>
  <c r="P428" i="1"/>
  <c r="P429" i="1"/>
  <c r="P430" i="1"/>
  <c r="P439" i="1"/>
  <c r="P440" i="1"/>
  <c r="P441" i="1"/>
  <c r="P444" i="1"/>
  <c r="P452" i="1"/>
  <c r="P456" i="1"/>
  <c r="P457" i="1"/>
  <c r="P458" i="1"/>
  <c r="P465" i="1"/>
  <c r="P466" i="1"/>
  <c r="P467" i="1"/>
  <c r="P468" i="1"/>
  <c r="P470" i="1"/>
  <c r="P471" i="1"/>
  <c r="P473" i="1"/>
  <c r="P477" i="1"/>
  <c r="P481" i="1"/>
  <c r="P485" i="1"/>
  <c r="P486" i="1"/>
  <c r="P487" i="1"/>
  <c r="P488" i="1"/>
  <c r="P490" i="1"/>
  <c r="P494" i="1"/>
  <c r="P496" i="1"/>
  <c r="P502" i="1"/>
  <c r="P506" i="1"/>
  <c r="P510" i="1"/>
  <c r="P512" i="1"/>
  <c r="P514" i="1"/>
  <c r="P515" i="1"/>
  <c r="P520" i="1"/>
  <c r="P522" i="1"/>
  <c r="P527" i="1"/>
  <c r="P532" i="1"/>
  <c r="F86" i="1"/>
  <c r="A19" i="1"/>
  <c r="A20" i="1"/>
  <c r="A21" i="1"/>
  <c r="A22" i="1"/>
  <c r="A54" i="1"/>
  <c r="A56" i="1"/>
  <c r="A59" i="1"/>
  <c r="A60" i="1"/>
  <c r="A61" i="1"/>
  <c r="A62" i="1"/>
  <c r="A63" i="1"/>
  <c r="A68" i="1"/>
  <c r="A72" i="1"/>
  <c r="A74" i="1"/>
  <c r="A75" i="1"/>
  <c r="A76" i="1"/>
  <c r="A77" i="1"/>
  <c r="A81" i="1"/>
  <c r="A82" i="1"/>
  <c r="A83" i="1"/>
  <c r="A84" i="1"/>
  <c r="A85" i="1"/>
  <c r="A87" i="1"/>
  <c r="A88" i="1"/>
  <c r="A90" i="1"/>
  <c r="A91" i="1"/>
  <c r="A92" i="1"/>
  <c r="A93" i="1"/>
  <c r="A94" i="1"/>
  <c r="A96" i="1"/>
  <c r="A101" i="1"/>
  <c r="A102" i="1"/>
  <c r="A110" i="1"/>
  <c r="A111" i="1"/>
  <c r="A112" i="1"/>
  <c r="A113" i="1"/>
  <c r="A114" i="1"/>
  <c r="A115" i="1"/>
  <c r="A120" i="1"/>
  <c r="A127" i="1"/>
  <c r="A129" i="1"/>
  <c r="A130" i="1"/>
  <c r="A134" i="1"/>
  <c r="A135" i="1"/>
  <c r="A138" i="1"/>
  <c r="A139" i="1"/>
  <c r="A140" i="1"/>
  <c r="A141" i="1"/>
  <c r="A149" i="1"/>
  <c r="A155" i="1"/>
  <c r="A157" i="1"/>
  <c r="A161" i="1"/>
  <c r="A162" i="1"/>
  <c r="A171" i="1"/>
  <c r="A172" i="1"/>
  <c r="A180" i="1"/>
  <c r="A181" i="1"/>
  <c r="A182" i="1"/>
  <c r="A185" i="1"/>
  <c r="A186" i="1"/>
  <c r="A187" i="1"/>
  <c r="A188" i="1"/>
  <c r="A189" i="1"/>
  <c r="A202" i="1"/>
  <c r="A214" i="1"/>
  <c r="A226" i="1"/>
  <c r="A227" i="1"/>
  <c r="A232" i="1"/>
  <c r="A236" i="1"/>
  <c r="A237" i="1"/>
  <c r="A239" i="1"/>
  <c r="A240" i="1"/>
  <c r="A241" i="1"/>
  <c r="A248" i="1"/>
  <c r="A249" i="1"/>
  <c r="A251" i="1"/>
  <c r="A255" i="1"/>
  <c r="A257" i="1"/>
  <c r="A259" i="1"/>
  <c r="A260" i="1"/>
  <c r="A264" i="1"/>
  <c r="A265" i="1"/>
  <c r="A266" i="1"/>
  <c r="A267" i="1"/>
  <c r="A269" i="1"/>
  <c r="A271" i="1"/>
  <c r="A272" i="1"/>
  <c r="A273" i="1"/>
  <c r="A274" i="1"/>
  <c r="A278" i="1"/>
  <c r="A281" i="1"/>
  <c r="A282" i="1"/>
  <c r="A283" i="1"/>
  <c r="A284" i="1"/>
  <c r="A285" i="1"/>
  <c r="A290" i="1"/>
  <c r="A292" i="1"/>
  <c r="A293" i="1"/>
  <c r="A295" i="1"/>
  <c r="A297" i="1"/>
  <c r="A298" i="1"/>
  <c r="A300" i="1"/>
  <c r="A302" i="1"/>
  <c r="A303" i="1"/>
  <c r="A305" i="1"/>
  <c r="A306" i="1"/>
  <c r="A309" i="1"/>
  <c r="A310" i="1"/>
  <c r="A312" i="1"/>
  <c r="A314" i="1"/>
  <c r="A320" i="1"/>
  <c r="A323" i="1"/>
  <c r="A324" i="1"/>
  <c r="A326" i="1"/>
  <c r="A328" i="1"/>
  <c r="A330" i="1"/>
  <c r="A331" i="1"/>
  <c r="A332" i="1"/>
  <c r="A333" i="1"/>
  <c r="A334" i="1"/>
  <c r="A336" i="1"/>
  <c r="A338" i="1"/>
  <c r="A339" i="1"/>
  <c r="A344" i="1"/>
  <c r="A350" i="1"/>
  <c r="A358" i="1"/>
  <c r="A359" i="1"/>
  <c r="A362" i="1"/>
  <c r="A365" i="1"/>
  <c r="A368" i="1"/>
  <c r="A369" i="1"/>
  <c r="A373" i="1"/>
  <c r="A381" i="1"/>
  <c r="A387" i="1"/>
  <c r="A389" i="1"/>
  <c r="A391" i="1"/>
  <c r="A392" i="1"/>
  <c r="A398" i="1"/>
  <c r="A400" i="1"/>
  <c r="A402" i="1"/>
  <c r="A404" i="1"/>
  <c r="A405" i="1"/>
  <c r="A406" i="1"/>
  <c r="A408" i="1"/>
  <c r="A410" i="1"/>
  <c r="A415" i="1"/>
  <c r="A417" i="1"/>
  <c r="A418" i="1"/>
  <c r="A419" i="1"/>
  <c r="A427" i="1"/>
  <c r="A428" i="1"/>
  <c r="A429" i="1"/>
  <c r="A430" i="1"/>
  <c r="A439" i="1"/>
  <c r="A440" i="1"/>
  <c r="A441" i="1"/>
  <c r="A444" i="1"/>
  <c r="A452" i="1"/>
  <c r="A456" i="1"/>
  <c r="A457" i="1"/>
  <c r="A458" i="1"/>
  <c r="A465" i="1"/>
  <c r="A466" i="1"/>
  <c r="A467" i="1"/>
  <c r="A468" i="1"/>
  <c r="A470" i="1"/>
  <c r="A471" i="1"/>
  <c r="A473" i="1"/>
  <c r="A477" i="1"/>
  <c r="A481" i="1"/>
  <c r="A485" i="1"/>
  <c r="A486" i="1"/>
  <c r="A487" i="1"/>
  <c r="A488" i="1"/>
  <c r="A490" i="1"/>
  <c r="A494" i="1"/>
  <c r="A496" i="1"/>
  <c r="A502" i="1"/>
  <c r="A506" i="1"/>
  <c r="A510" i="1"/>
  <c r="A512" i="1"/>
  <c r="A514" i="1"/>
  <c r="A515" i="1"/>
  <c r="A520" i="1"/>
  <c r="A522" i="1"/>
  <c r="A527" i="1"/>
  <c r="A532" i="1"/>
  <c r="K464" i="1"/>
  <c r="M464" i="1" s="1"/>
  <c r="H464" i="1"/>
  <c r="Q464" i="1" s="1"/>
  <c r="K463" i="1"/>
  <c r="M463" i="1" s="1"/>
  <c r="H463" i="1"/>
  <c r="Q463" i="1" s="1"/>
  <c r="K462" i="1"/>
  <c r="M462" i="1" s="1"/>
  <c r="H462" i="1"/>
  <c r="Q462" i="1" s="1"/>
  <c r="K461" i="1"/>
  <c r="H461" i="1"/>
  <c r="Q461" i="1" s="1"/>
  <c r="K460" i="1"/>
  <c r="M460" i="1" s="1"/>
  <c r="H460" i="1"/>
  <c r="Q460" i="1" s="1"/>
  <c r="H459" i="1"/>
  <c r="G459" i="1"/>
  <c r="A459" i="1" s="1"/>
  <c r="K453" i="1"/>
  <c r="M453" i="1" s="1"/>
  <c r="H453" i="1"/>
  <c r="Q453" i="1" s="1"/>
  <c r="K451" i="1"/>
  <c r="M451" i="1" s="1"/>
  <c r="H451" i="1"/>
  <c r="Q451" i="1" s="1"/>
  <c r="K450" i="1"/>
  <c r="H450" i="1"/>
  <c r="Q450" i="1" s="1"/>
  <c r="K449" i="1"/>
  <c r="M449" i="1" s="1"/>
  <c r="H449" i="1"/>
  <c r="Q449" i="1" s="1"/>
  <c r="K448" i="1"/>
  <c r="M448" i="1" s="1"/>
  <c r="H448" i="1"/>
  <c r="Q448" i="1" s="1"/>
  <c r="K447" i="1"/>
  <c r="M447" i="1" s="1"/>
  <c r="H447" i="1"/>
  <c r="Q447" i="1" s="1"/>
  <c r="K446" i="1"/>
  <c r="H446" i="1"/>
  <c r="Q446" i="1" s="1"/>
  <c r="K445" i="1"/>
  <c r="M445" i="1" s="1"/>
  <c r="H445" i="1"/>
  <c r="Q445" i="1" s="1"/>
  <c r="K443" i="1"/>
  <c r="M443" i="1" s="1"/>
  <c r="H443" i="1"/>
  <c r="Q443" i="1" s="1"/>
  <c r="K442" i="1"/>
  <c r="H442" i="1"/>
  <c r="Q442" i="1" s="1"/>
  <c r="K438" i="1"/>
  <c r="H438" i="1"/>
  <c r="Q438" i="1" s="1"/>
  <c r="K437" i="1"/>
  <c r="M437" i="1" s="1"/>
  <c r="H437" i="1"/>
  <c r="Q437" i="1" s="1"/>
  <c r="K436" i="1"/>
  <c r="M436" i="1" s="1"/>
  <c r="H436" i="1"/>
  <c r="Q436" i="1" s="1"/>
  <c r="K435" i="1"/>
  <c r="M435" i="1" s="1"/>
  <c r="H435" i="1"/>
  <c r="Q435" i="1" s="1"/>
  <c r="K434" i="1"/>
  <c r="H434" i="1"/>
  <c r="Q434" i="1" s="1"/>
  <c r="K433" i="1"/>
  <c r="M433" i="1" s="1"/>
  <c r="H433" i="1"/>
  <c r="Q433" i="1" s="1"/>
  <c r="K432" i="1"/>
  <c r="M432" i="1" s="1"/>
  <c r="H432" i="1"/>
  <c r="Q432" i="1" s="1"/>
  <c r="K431" i="1"/>
  <c r="M431" i="1" s="1"/>
  <c r="H431" i="1"/>
  <c r="Q431" i="1" s="1"/>
  <c r="K426" i="1"/>
  <c r="F426" i="1"/>
  <c r="H426" i="1" s="1"/>
  <c r="Q426" i="1" s="1"/>
  <c r="K425" i="1"/>
  <c r="M425" i="1" s="1"/>
  <c r="H425" i="1"/>
  <c r="Q425" i="1" s="1"/>
  <c r="K424" i="1"/>
  <c r="M424" i="1" s="1"/>
  <c r="F424" i="1"/>
  <c r="H424" i="1" s="1"/>
  <c r="Q424" i="1" s="1"/>
  <c r="K423" i="1"/>
  <c r="M423" i="1" s="1"/>
  <c r="H423" i="1"/>
  <c r="Q423" i="1" s="1"/>
  <c r="K422" i="1"/>
  <c r="F422" i="1"/>
  <c r="H422" i="1" s="1"/>
  <c r="Q422" i="1" s="1"/>
  <c r="K421" i="1"/>
  <c r="M421" i="1" s="1"/>
  <c r="F421" i="1"/>
  <c r="H421" i="1" s="1"/>
  <c r="Q421" i="1" s="1"/>
  <c r="K420" i="1"/>
  <c r="M420" i="1" s="1"/>
  <c r="F420" i="1"/>
  <c r="H420" i="1" s="1"/>
  <c r="Q420" i="1" s="1"/>
  <c r="K416" i="1"/>
  <c r="M416" i="1" s="1"/>
  <c r="H416" i="1"/>
  <c r="Q416" i="1" s="1"/>
  <c r="K414" i="1"/>
  <c r="H414" i="1"/>
  <c r="Q414" i="1" s="1"/>
  <c r="K413" i="1"/>
  <c r="M413" i="1" s="1"/>
  <c r="H413" i="1"/>
  <c r="Q413" i="1" s="1"/>
  <c r="K412" i="1"/>
  <c r="M412" i="1" s="1"/>
  <c r="H412" i="1"/>
  <c r="Q412" i="1" s="1"/>
  <c r="K411" i="1"/>
  <c r="M411" i="1" s="1"/>
  <c r="H411" i="1"/>
  <c r="Q411" i="1" s="1"/>
  <c r="K409" i="1"/>
  <c r="H409" i="1"/>
  <c r="Q409" i="1" s="1"/>
  <c r="H407" i="1"/>
  <c r="G407" i="1"/>
  <c r="A407" i="1" s="1"/>
  <c r="K403" i="1"/>
  <c r="M403" i="1" s="1"/>
  <c r="H403" i="1"/>
  <c r="Q403" i="1" s="1"/>
  <c r="K401" i="1"/>
  <c r="H401" i="1"/>
  <c r="Q401" i="1" s="1"/>
  <c r="K399" i="1"/>
  <c r="M399" i="1" s="1"/>
  <c r="H399" i="1"/>
  <c r="Q399" i="1" s="1"/>
  <c r="K397" i="1"/>
  <c r="H397" i="1"/>
  <c r="Q397" i="1" s="1"/>
  <c r="K396" i="1"/>
  <c r="M396" i="1" s="1"/>
  <c r="H396" i="1"/>
  <c r="Q396" i="1" s="1"/>
  <c r="K395" i="1"/>
  <c r="M395" i="1" s="1"/>
  <c r="H395" i="1"/>
  <c r="Q395" i="1" s="1"/>
  <c r="K394" i="1"/>
  <c r="M394" i="1" s="1"/>
  <c r="H394" i="1"/>
  <c r="Q394" i="1" s="1"/>
  <c r="K393" i="1"/>
  <c r="H393" i="1"/>
  <c r="Q393" i="1" s="1"/>
  <c r="K390" i="1"/>
  <c r="M390" i="1" s="1"/>
  <c r="H390" i="1"/>
  <c r="Q390" i="1" s="1"/>
  <c r="K388" i="1"/>
  <c r="M388" i="1" s="1"/>
  <c r="H388" i="1"/>
  <c r="Q388" i="1" s="1"/>
  <c r="K386" i="1"/>
  <c r="M386" i="1" s="1"/>
  <c r="H386" i="1"/>
  <c r="Q386" i="1" s="1"/>
  <c r="K385" i="1"/>
  <c r="H385" i="1"/>
  <c r="Q385" i="1" s="1"/>
  <c r="K384" i="1"/>
  <c r="M384" i="1" s="1"/>
  <c r="H384" i="1"/>
  <c r="Q384" i="1" s="1"/>
  <c r="K383" i="1"/>
  <c r="M383" i="1" s="1"/>
  <c r="H383" i="1"/>
  <c r="Q383" i="1" s="1"/>
  <c r="K382" i="1"/>
  <c r="M382" i="1" s="1"/>
  <c r="H382" i="1"/>
  <c r="Q382" i="1" s="1"/>
  <c r="K380" i="1"/>
  <c r="M380" i="1" s="1"/>
  <c r="H380" i="1"/>
  <c r="Q380" i="1" s="1"/>
  <c r="K376" i="1"/>
  <c r="M376" i="1" s="1"/>
  <c r="H376" i="1"/>
  <c r="Q376" i="1" s="1"/>
  <c r="K375" i="1"/>
  <c r="H375" i="1"/>
  <c r="Q375" i="1" s="1"/>
  <c r="K374" i="1"/>
  <c r="H374" i="1"/>
  <c r="Q374" i="1" s="1"/>
  <c r="K372" i="1"/>
  <c r="M372" i="1" s="1"/>
  <c r="H372" i="1"/>
  <c r="Q372" i="1" s="1"/>
  <c r="K371" i="1"/>
  <c r="H371" i="1"/>
  <c r="Q371" i="1" s="1"/>
  <c r="K370" i="1"/>
  <c r="H370" i="1"/>
  <c r="Q370" i="1" s="1"/>
  <c r="K367" i="1"/>
  <c r="H367" i="1"/>
  <c r="Q367" i="1" s="1"/>
  <c r="K366" i="1"/>
  <c r="H366" i="1"/>
  <c r="Q366" i="1" s="1"/>
  <c r="K364" i="1"/>
  <c r="M364" i="1" s="1"/>
  <c r="H364" i="1"/>
  <c r="Q364" i="1" s="1"/>
  <c r="K363" i="1"/>
  <c r="H363" i="1"/>
  <c r="Q363" i="1" s="1"/>
  <c r="K361" i="1"/>
  <c r="H361" i="1"/>
  <c r="Q361" i="1" s="1"/>
  <c r="K360" i="1"/>
  <c r="M360" i="1" s="1"/>
  <c r="H360" i="1"/>
  <c r="Q360" i="1" s="1"/>
  <c r="K351" i="1"/>
  <c r="H351" i="1"/>
  <c r="Q351" i="1" s="1"/>
  <c r="K329" i="1"/>
  <c r="H329" i="1"/>
  <c r="Q329" i="1" s="1"/>
  <c r="K327" i="1"/>
  <c r="H327" i="1"/>
  <c r="Q327" i="1" s="1"/>
  <c r="K325" i="1"/>
  <c r="H325" i="1"/>
  <c r="Q325" i="1" s="1"/>
  <c r="K322" i="1"/>
  <c r="H322" i="1"/>
  <c r="Q322" i="1" s="1"/>
  <c r="K321" i="1"/>
  <c r="H321" i="1"/>
  <c r="Q321" i="1" s="1"/>
  <c r="K319" i="1"/>
  <c r="H319" i="1"/>
  <c r="Q319" i="1" s="1"/>
  <c r="K318" i="1"/>
  <c r="H318" i="1"/>
  <c r="Q318" i="1" s="1"/>
  <c r="K317" i="1"/>
  <c r="H317" i="1"/>
  <c r="Q317" i="1" s="1"/>
  <c r="K316" i="1"/>
  <c r="M316" i="1" s="1"/>
  <c r="H316" i="1"/>
  <c r="Q316" i="1" s="1"/>
  <c r="K315" i="1"/>
  <c r="H315" i="1"/>
  <c r="Q315" i="1" s="1"/>
  <c r="K313" i="1"/>
  <c r="H313" i="1"/>
  <c r="Q313" i="1" s="1"/>
  <c r="K311" i="1"/>
  <c r="H311" i="1"/>
  <c r="Q311" i="1" s="1"/>
  <c r="K308" i="1"/>
  <c r="M308" i="1" s="1"/>
  <c r="F308" i="1"/>
  <c r="H308" i="1" s="1"/>
  <c r="Q308" i="1" s="1"/>
  <c r="K307" i="1"/>
  <c r="H307" i="1"/>
  <c r="Q307" i="1" s="1"/>
  <c r="K304" i="1"/>
  <c r="M304" i="1" s="1"/>
  <c r="H304" i="1"/>
  <c r="Q304" i="1" s="1"/>
  <c r="K301" i="1"/>
  <c r="H301" i="1"/>
  <c r="K299" i="1"/>
  <c r="F299" i="1"/>
  <c r="H299" i="1" s="1"/>
  <c r="Q299" i="1" s="1"/>
  <c r="K296" i="1"/>
  <c r="M296" i="1" s="1"/>
  <c r="H296" i="1"/>
  <c r="Q296" i="1" s="1"/>
  <c r="K294" i="1"/>
  <c r="H294" i="1"/>
  <c r="Q294" i="1" s="1"/>
  <c r="K291" i="1"/>
  <c r="H291" i="1"/>
  <c r="Q291" i="1" s="1"/>
  <c r="K289" i="1"/>
  <c r="F289" i="1"/>
  <c r="H289" i="1" s="1"/>
  <c r="Q289" i="1" s="1"/>
  <c r="K288" i="1"/>
  <c r="M288" i="1" s="1"/>
  <c r="F288" i="1"/>
  <c r="H288" i="1" s="1"/>
  <c r="K287" i="1"/>
  <c r="H287" i="1"/>
  <c r="Q287" i="1" s="1"/>
  <c r="K286" i="1"/>
  <c r="H286" i="1"/>
  <c r="P464" i="1" l="1"/>
  <c r="P447" i="1"/>
  <c r="P436" i="1"/>
  <c r="P431" i="1"/>
  <c r="P421" i="1"/>
  <c r="P412" i="1"/>
  <c r="P403" i="1"/>
  <c r="P388" i="1"/>
  <c r="P383" i="1"/>
  <c r="P372" i="1"/>
  <c r="P364" i="1"/>
  <c r="P288" i="1"/>
  <c r="M287" i="1"/>
  <c r="P287" i="1"/>
  <c r="M289" i="1"/>
  <c r="N289" i="1" s="1"/>
  <c r="P289" i="1"/>
  <c r="M294" i="1"/>
  <c r="P294" i="1"/>
  <c r="M299" i="1"/>
  <c r="N299" i="1" s="1"/>
  <c r="P299" i="1"/>
  <c r="M313" i="1"/>
  <c r="N313" i="1" s="1"/>
  <c r="P313" i="1"/>
  <c r="M318" i="1"/>
  <c r="N318" i="1" s="1"/>
  <c r="P318" i="1"/>
  <c r="M321" i="1"/>
  <c r="P321" i="1"/>
  <c r="M325" i="1"/>
  <c r="N325" i="1" s="1"/>
  <c r="P325" i="1"/>
  <c r="M329" i="1"/>
  <c r="P329" i="1"/>
  <c r="M351" i="1"/>
  <c r="N351" i="1" s="1"/>
  <c r="P351" i="1"/>
  <c r="M363" i="1"/>
  <c r="N363" i="1" s="1"/>
  <c r="P363" i="1"/>
  <c r="M366" i="1"/>
  <c r="N366" i="1" s="1"/>
  <c r="P366" i="1"/>
  <c r="M370" i="1"/>
  <c r="N370" i="1" s="1"/>
  <c r="P370" i="1"/>
  <c r="M375" i="1"/>
  <c r="N375" i="1" s="1"/>
  <c r="P375" i="1"/>
  <c r="M414" i="1"/>
  <c r="N414" i="1" s="1"/>
  <c r="P414" i="1"/>
  <c r="M422" i="1"/>
  <c r="P422" i="1"/>
  <c r="M426" i="1"/>
  <c r="N426" i="1" s="1"/>
  <c r="P426" i="1"/>
  <c r="M434" i="1"/>
  <c r="N434" i="1" s="1"/>
  <c r="P434" i="1"/>
  <c r="M438" i="1"/>
  <c r="N438" i="1" s="1"/>
  <c r="P438" i="1"/>
  <c r="M446" i="1"/>
  <c r="P446" i="1"/>
  <c r="M450" i="1"/>
  <c r="N450" i="1" s="1"/>
  <c r="P450" i="1"/>
  <c r="P463" i="1"/>
  <c r="P451" i="1"/>
  <c r="P445" i="1"/>
  <c r="P435" i="1"/>
  <c r="P425" i="1"/>
  <c r="P420" i="1"/>
  <c r="P416" i="1"/>
  <c r="P411" i="1"/>
  <c r="P396" i="1"/>
  <c r="P382" i="1"/>
  <c r="P316" i="1"/>
  <c r="P304" i="1"/>
  <c r="Q286" i="1"/>
  <c r="P462" i="1"/>
  <c r="P449" i="1"/>
  <c r="P433" i="1"/>
  <c r="P424" i="1"/>
  <c r="P395" i="1"/>
  <c r="P390" i="1"/>
  <c r="P386" i="1"/>
  <c r="P376" i="1"/>
  <c r="P360" i="1"/>
  <c r="P308" i="1"/>
  <c r="N288" i="1"/>
  <c r="Q288" i="1"/>
  <c r="Q301" i="1"/>
  <c r="M286" i="1"/>
  <c r="N286" i="1" s="1"/>
  <c r="P286" i="1"/>
  <c r="M291" i="1"/>
  <c r="N291" i="1" s="1"/>
  <c r="P291" i="1"/>
  <c r="M301" i="1"/>
  <c r="N301" i="1" s="1"/>
  <c r="P301" i="1"/>
  <c r="M307" i="1"/>
  <c r="N307" i="1" s="1"/>
  <c r="P307" i="1"/>
  <c r="M311" i="1"/>
  <c r="N311" i="1" s="1"/>
  <c r="P311" i="1"/>
  <c r="M315" i="1"/>
  <c r="N315" i="1" s="1"/>
  <c r="P315" i="1"/>
  <c r="M317" i="1"/>
  <c r="N317" i="1" s="1"/>
  <c r="P317" i="1"/>
  <c r="M319" i="1"/>
  <c r="N319" i="1" s="1"/>
  <c r="P319" i="1"/>
  <c r="M322" i="1"/>
  <c r="N322" i="1" s="1"/>
  <c r="P322" i="1"/>
  <c r="M327" i="1"/>
  <c r="N327" i="1" s="1"/>
  <c r="P327" i="1"/>
  <c r="M361" i="1"/>
  <c r="N361" i="1" s="1"/>
  <c r="P361" i="1"/>
  <c r="M367" i="1"/>
  <c r="N367" i="1" s="1"/>
  <c r="P367" i="1"/>
  <c r="M371" i="1"/>
  <c r="N371" i="1" s="1"/>
  <c r="P371" i="1"/>
  <c r="M374" i="1"/>
  <c r="N374" i="1" s="1"/>
  <c r="P374" i="1"/>
  <c r="M385" i="1"/>
  <c r="N385" i="1" s="1"/>
  <c r="P385" i="1"/>
  <c r="M393" i="1"/>
  <c r="N393" i="1" s="1"/>
  <c r="P393" i="1"/>
  <c r="M397" i="1"/>
  <c r="N397" i="1" s="1"/>
  <c r="P397" i="1"/>
  <c r="M401" i="1"/>
  <c r="N401" i="1" s="1"/>
  <c r="P401" i="1"/>
  <c r="M442" i="1"/>
  <c r="N442" i="1" s="1"/>
  <c r="P442" i="1"/>
  <c r="M461" i="1"/>
  <c r="N461" i="1" s="1"/>
  <c r="P461" i="1"/>
  <c r="P460" i="1"/>
  <c r="P453" i="1"/>
  <c r="P448" i="1"/>
  <c r="P443" i="1"/>
  <c r="P437" i="1"/>
  <c r="P432" i="1"/>
  <c r="P423" i="1"/>
  <c r="P413" i="1"/>
  <c r="P409" i="1"/>
  <c r="P399" i="1"/>
  <c r="P394" i="1"/>
  <c r="P384" i="1"/>
  <c r="P380" i="1"/>
  <c r="P296" i="1"/>
  <c r="N390" i="1"/>
  <c r="N432" i="1"/>
  <c r="N436" i="1"/>
  <c r="N453" i="1"/>
  <c r="N372" i="1"/>
  <c r="N446" i="1"/>
  <c r="N447" i="1"/>
  <c r="N449" i="1"/>
  <c r="N416" i="1"/>
  <c r="N431" i="1"/>
  <c r="N433" i="1"/>
  <c r="N435" i="1"/>
  <c r="N437" i="1"/>
  <c r="N445" i="1"/>
  <c r="N451" i="1"/>
  <c r="N462" i="1"/>
  <c r="N448" i="1"/>
  <c r="N304" i="1"/>
  <c r="N382" i="1"/>
  <c r="N384" i="1"/>
  <c r="N386" i="1"/>
  <c r="N422" i="1"/>
  <c r="N424" i="1"/>
  <c r="N443" i="1"/>
  <c r="N460" i="1"/>
  <c r="N464" i="1"/>
  <c r="N463" i="1"/>
  <c r="N287" i="1"/>
  <c r="N396" i="1"/>
  <c r="N411" i="1"/>
  <c r="N413" i="1"/>
  <c r="N421" i="1"/>
  <c r="N329" i="1"/>
  <c r="N423" i="1"/>
  <c r="N409" i="1"/>
  <c r="N412" i="1"/>
  <c r="N420" i="1"/>
  <c r="N425" i="1"/>
  <c r="N388" i="1"/>
  <c r="N296" i="1"/>
  <c r="N376" i="1"/>
  <c r="N395" i="1"/>
  <c r="N399" i="1"/>
  <c r="N380" i="1"/>
  <c r="N364" i="1"/>
  <c r="N383" i="1"/>
  <c r="N394" i="1"/>
  <c r="N403" i="1"/>
  <c r="N360" i="1"/>
  <c r="N321" i="1"/>
  <c r="N294" i="1"/>
  <c r="N308" i="1"/>
  <c r="N316" i="1"/>
  <c r="N465" i="1" l="1"/>
  <c r="N456" i="1"/>
  <c r="N330" i="1"/>
  <c r="C21" i="4" s="1"/>
  <c r="D21" i="4" s="1"/>
  <c r="C23" i="4"/>
  <c r="D23" i="4" s="1"/>
  <c r="C24" i="4"/>
  <c r="D24" i="4" s="1"/>
  <c r="K137" i="1" l="1"/>
  <c r="H137" i="1"/>
  <c r="Q137" i="1" s="1"/>
  <c r="K136" i="1"/>
  <c r="H136" i="1"/>
  <c r="Q136" i="1" s="1"/>
  <c r="K156" i="1"/>
  <c r="H156" i="1"/>
  <c r="Q156" i="1" s="1"/>
  <c r="K126" i="1"/>
  <c r="H126" i="1"/>
  <c r="Q126" i="1" s="1"/>
  <c r="F121" i="1"/>
  <c r="F122" i="1"/>
  <c r="F98" i="1"/>
  <c r="M156" i="1" l="1"/>
  <c r="N156" i="1" s="1"/>
  <c r="P156" i="1"/>
  <c r="M137" i="1"/>
  <c r="N137" i="1" s="1"/>
  <c r="P137" i="1"/>
  <c r="M126" i="1"/>
  <c r="N126" i="1" s="1"/>
  <c r="P126" i="1"/>
  <c r="M136" i="1"/>
  <c r="N136" i="1" s="1"/>
  <c r="P136" i="1"/>
  <c r="F258" i="1" l="1"/>
  <c r="H258" i="1" s="1"/>
  <c r="Q258" i="1" s="1"/>
  <c r="K258" i="1"/>
  <c r="A537" i="1"/>
  <c r="A536" i="1"/>
  <c r="K534" i="1"/>
  <c r="H534" i="1"/>
  <c r="Q534" i="1" s="1"/>
  <c r="K533" i="1"/>
  <c r="H533" i="1"/>
  <c r="Q533" i="1" s="1"/>
  <c r="K531" i="1"/>
  <c r="H531" i="1"/>
  <c r="Q531" i="1" s="1"/>
  <c r="K530" i="1"/>
  <c r="H530" i="1"/>
  <c r="Q530" i="1" s="1"/>
  <c r="K529" i="1"/>
  <c r="H529" i="1"/>
  <c r="Q529" i="1" s="1"/>
  <c r="K528" i="1"/>
  <c r="H528" i="1"/>
  <c r="Q528" i="1" s="1"/>
  <c r="K526" i="1"/>
  <c r="H526" i="1"/>
  <c r="Q526" i="1" s="1"/>
  <c r="K525" i="1"/>
  <c r="H525" i="1"/>
  <c r="Q525" i="1" s="1"/>
  <c r="K524" i="1"/>
  <c r="H524" i="1"/>
  <c r="Q524" i="1" s="1"/>
  <c r="K523" i="1"/>
  <c r="H523" i="1"/>
  <c r="Q523" i="1" s="1"/>
  <c r="K521" i="1"/>
  <c r="H521" i="1"/>
  <c r="Q521" i="1" s="1"/>
  <c r="F519" i="1"/>
  <c r="H519" i="1" s="1"/>
  <c r="Q519" i="1" s="1"/>
  <c r="F518" i="1"/>
  <c r="H518" i="1" s="1"/>
  <c r="Q518" i="1" s="1"/>
  <c r="K517" i="1"/>
  <c r="F517" i="1"/>
  <c r="H517" i="1" s="1"/>
  <c r="Q517" i="1" s="1"/>
  <c r="K516" i="1"/>
  <c r="F516" i="1"/>
  <c r="H516" i="1" s="1"/>
  <c r="Q516" i="1" s="1"/>
  <c r="K513" i="1"/>
  <c r="H513" i="1"/>
  <c r="Q513" i="1" s="1"/>
  <c r="K511" i="1"/>
  <c r="H511" i="1"/>
  <c r="Q511" i="1" s="1"/>
  <c r="F508" i="1"/>
  <c r="H508" i="1" s="1"/>
  <c r="Q508" i="1" s="1"/>
  <c r="F507" i="1"/>
  <c r="H505" i="1"/>
  <c r="Q505" i="1" s="1"/>
  <c r="K504" i="1"/>
  <c r="F504" i="1"/>
  <c r="H504" i="1" s="1"/>
  <c r="Q504" i="1" s="1"/>
  <c r="K503" i="1"/>
  <c r="H503" i="1"/>
  <c r="Q503" i="1" s="1"/>
  <c r="K501" i="1"/>
  <c r="H501" i="1"/>
  <c r="Q501" i="1" s="1"/>
  <c r="K500" i="1"/>
  <c r="H500" i="1"/>
  <c r="Q500" i="1" s="1"/>
  <c r="K499" i="1"/>
  <c r="H499" i="1"/>
  <c r="Q499" i="1" s="1"/>
  <c r="K498" i="1"/>
  <c r="F498" i="1"/>
  <c r="H498" i="1" s="1"/>
  <c r="Q498" i="1" s="1"/>
  <c r="K497" i="1"/>
  <c r="F497" i="1"/>
  <c r="H497" i="1" s="1"/>
  <c r="Q497" i="1" s="1"/>
  <c r="K495" i="1"/>
  <c r="H495" i="1"/>
  <c r="Q495" i="1" s="1"/>
  <c r="F493" i="1"/>
  <c r="H493" i="1" s="1"/>
  <c r="Q493" i="1" s="1"/>
  <c r="K492" i="1"/>
  <c r="F492" i="1"/>
  <c r="H492" i="1" s="1"/>
  <c r="Q492" i="1" s="1"/>
  <c r="K491" i="1"/>
  <c r="H491" i="1"/>
  <c r="Q491" i="1" s="1"/>
  <c r="K489" i="1"/>
  <c r="H489" i="1"/>
  <c r="Q489" i="1" s="1"/>
  <c r="K484" i="1"/>
  <c r="H484" i="1"/>
  <c r="Q484" i="1" s="1"/>
  <c r="K483" i="1"/>
  <c r="H483" i="1"/>
  <c r="Q483" i="1" s="1"/>
  <c r="K482" i="1"/>
  <c r="H482" i="1"/>
  <c r="Q482" i="1" s="1"/>
  <c r="K480" i="1"/>
  <c r="H480" i="1"/>
  <c r="Q480" i="1" s="1"/>
  <c r="K479" i="1"/>
  <c r="H479" i="1"/>
  <c r="Q479" i="1" s="1"/>
  <c r="K478" i="1"/>
  <c r="H478" i="1"/>
  <c r="Q478" i="1" s="1"/>
  <c r="K476" i="1"/>
  <c r="F476" i="1"/>
  <c r="H476" i="1" s="1"/>
  <c r="Q476" i="1" s="1"/>
  <c r="K475" i="1"/>
  <c r="F475" i="1"/>
  <c r="H475" i="1" s="1"/>
  <c r="Q475" i="1" s="1"/>
  <c r="K474" i="1"/>
  <c r="H474" i="1"/>
  <c r="Q474" i="1" s="1"/>
  <c r="K472" i="1"/>
  <c r="H472" i="1"/>
  <c r="Q472" i="1" s="1"/>
  <c r="K58" i="1"/>
  <c r="H58" i="1"/>
  <c r="Q58" i="1" s="1"/>
  <c r="K57" i="1"/>
  <c r="H57" i="1"/>
  <c r="Q57" i="1" s="1"/>
  <c r="K53" i="1"/>
  <c r="H53" i="1"/>
  <c r="Q53" i="1" s="1"/>
  <c r="K52" i="1"/>
  <c r="H52" i="1"/>
  <c r="Q52" i="1" s="1"/>
  <c r="K51" i="1"/>
  <c r="H51" i="1"/>
  <c r="Q51" i="1" s="1"/>
  <c r="K50" i="1"/>
  <c r="H50" i="1"/>
  <c r="Q50" i="1" s="1"/>
  <c r="K49" i="1"/>
  <c r="H49" i="1"/>
  <c r="Q49" i="1" s="1"/>
  <c r="K48" i="1"/>
  <c r="H48" i="1"/>
  <c r="Q48" i="1" s="1"/>
  <c r="M50" i="1" l="1"/>
  <c r="P50" i="1"/>
  <c r="M480" i="1"/>
  <c r="N480" i="1" s="1"/>
  <c r="P480" i="1"/>
  <c r="M498" i="1"/>
  <c r="N498" i="1" s="1"/>
  <c r="P498" i="1"/>
  <c r="M509" i="1"/>
  <c r="M513" i="1"/>
  <c r="N513" i="1" s="1"/>
  <c r="P513" i="1"/>
  <c r="M517" i="1"/>
  <c r="P517" i="1"/>
  <c r="M519" i="1"/>
  <c r="N519" i="1" s="1"/>
  <c r="P519" i="1"/>
  <c r="M523" i="1"/>
  <c r="N523" i="1" s="1"/>
  <c r="P523" i="1"/>
  <c r="M525" i="1"/>
  <c r="N525" i="1" s="1"/>
  <c r="P525" i="1"/>
  <c r="M528" i="1"/>
  <c r="N528" i="1" s="1"/>
  <c r="P528" i="1"/>
  <c r="M530" i="1"/>
  <c r="N530" i="1" s="1"/>
  <c r="P530" i="1"/>
  <c r="M533" i="1"/>
  <c r="P533" i="1"/>
  <c r="M52" i="1"/>
  <c r="N52" i="1" s="1"/>
  <c r="P52" i="1"/>
  <c r="M472" i="1"/>
  <c r="P472" i="1"/>
  <c r="M478" i="1"/>
  <c r="N478" i="1" s="1"/>
  <c r="P478" i="1"/>
  <c r="M489" i="1"/>
  <c r="P489" i="1"/>
  <c r="M495" i="1"/>
  <c r="N495" i="1" s="1"/>
  <c r="P495" i="1"/>
  <c r="M503" i="1"/>
  <c r="N503" i="1" s="1"/>
  <c r="P503" i="1"/>
  <c r="M508" i="1"/>
  <c r="N508" i="1" s="1"/>
  <c r="P508" i="1"/>
  <c r="M49" i="1"/>
  <c r="N49" i="1" s="1"/>
  <c r="P49" i="1"/>
  <c r="M51" i="1"/>
  <c r="N51" i="1" s="1"/>
  <c r="P51" i="1"/>
  <c r="M53" i="1"/>
  <c r="N53" i="1" s="1"/>
  <c r="P53" i="1"/>
  <c r="M58" i="1"/>
  <c r="N58" i="1" s="1"/>
  <c r="P58" i="1"/>
  <c r="M474" i="1"/>
  <c r="N474" i="1" s="1"/>
  <c r="P474" i="1"/>
  <c r="M476" i="1"/>
  <c r="N476" i="1" s="1"/>
  <c r="P476" i="1"/>
  <c r="M479" i="1"/>
  <c r="N479" i="1" s="1"/>
  <c r="P479" i="1"/>
  <c r="M482" i="1"/>
  <c r="N482" i="1" s="1"/>
  <c r="P482" i="1"/>
  <c r="M484" i="1"/>
  <c r="P484" i="1"/>
  <c r="M491" i="1"/>
  <c r="N491" i="1" s="1"/>
  <c r="P491" i="1"/>
  <c r="M493" i="1"/>
  <c r="N493" i="1" s="1"/>
  <c r="P493" i="1"/>
  <c r="M497" i="1"/>
  <c r="N497" i="1" s="1"/>
  <c r="P497" i="1"/>
  <c r="M499" i="1"/>
  <c r="N499" i="1" s="1"/>
  <c r="P499" i="1"/>
  <c r="M501" i="1"/>
  <c r="N501" i="1" s="1"/>
  <c r="P501" i="1"/>
  <c r="M504" i="1"/>
  <c r="N504" i="1" s="1"/>
  <c r="P504" i="1"/>
  <c r="M507" i="1"/>
  <c r="M258" i="1"/>
  <c r="N258" i="1" s="1"/>
  <c r="P258" i="1"/>
  <c r="M48" i="1"/>
  <c r="N48" i="1" s="1"/>
  <c r="P48" i="1"/>
  <c r="M57" i="1"/>
  <c r="N57" i="1" s="1"/>
  <c r="P57" i="1"/>
  <c r="M475" i="1"/>
  <c r="N475" i="1" s="1"/>
  <c r="P475" i="1"/>
  <c r="M483" i="1"/>
  <c r="N483" i="1" s="1"/>
  <c r="P483" i="1"/>
  <c r="M492" i="1"/>
  <c r="N492" i="1" s="1"/>
  <c r="P492" i="1"/>
  <c r="M500" i="1"/>
  <c r="N500" i="1" s="1"/>
  <c r="P500" i="1"/>
  <c r="M505" i="1"/>
  <c r="N505" i="1" s="1"/>
  <c r="P505" i="1"/>
  <c r="M511" i="1"/>
  <c r="N511" i="1" s="1"/>
  <c r="P511" i="1"/>
  <c r="M516" i="1"/>
  <c r="N516" i="1" s="1"/>
  <c r="P516" i="1"/>
  <c r="M518" i="1"/>
  <c r="N518" i="1" s="1"/>
  <c r="P518" i="1"/>
  <c r="M521" i="1"/>
  <c r="N521" i="1" s="1"/>
  <c r="P521" i="1"/>
  <c r="M524" i="1"/>
  <c r="N524" i="1" s="1"/>
  <c r="P524" i="1"/>
  <c r="M526" i="1"/>
  <c r="N526" i="1" s="1"/>
  <c r="P526" i="1"/>
  <c r="M529" i="1"/>
  <c r="N529" i="1" s="1"/>
  <c r="P529" i="1"/>
  <c r="M531" i="1"/>
  <c r="N531" i="1" s="1"/>
  <c r="P531" i="1"/>
  <c r="M534" i="1"/>
  <c r="N534" i="1" s="1"/>
  <c r="P534" i="1"/>
  <c r="F509" i="1"/>
  <c r="H509" i="1" s="1"/>
  <c r="P509" i="1" s="1"/>
  <c r="N489" i="1"/>
  <c r="N50" i="1"/>
  <c r="N484" i="1"/>
  <c r="N517" i="1"/>
  <c r="N533" i="1"/>
  <c r="H507" i="1"/>
  <c r="N472" i="1"/>
  <c r="N509" i="1" l="1"/>
  <c r="Q509" i="1"/>
  <c r="N507" i="1"/>
  <c r="Q507" i="1"/>
  <c r="P507" i="1"/>
  <c r="K349" i="1"/>
  <c r="H349" i="1"/>
  <c r="Q349" i="1" s="1"/>
  <c r="K348" i="1"/>
  <c r="H348" i="1"/>
  <c r="Q348" i="1" s="1"/>
  <c r="K347" i="1"/>
  <c r="H347" i="1"/>
  <c r="Q347" i="1" s="1"/>
  <c r="K346" i="1"/>
  <c r="H346" i="1"/>
  <c r="Q346" i="1" s="1"/>
  <c r="K345" i="1"/>
  <c r="H345" i="1"/>
  <c r="Q345" i="1" s="1"/>
  <c r="K343" i="1"/>
  <c r="H343" i="1"/>
  <c r="Q343" i="1" s="1"/>
  <c r="K342" i="1"/>
  <c r="H342" i="1"/>
  <c r="Q342" i="1" s="1"/>
  <c r="K341" i="1"/>
  <c r="H341" i="1"/>
  <c r="Q341" i="1" s="1"/>
  <c r="K340" i="1"/>
  <c r="H340" i="1"/>
  <c r="Q340" i="1" s="1"/>
  <c r="K337" i="1"/>
  <c r="H337" i="1"/>
  <c r="Q337" i="1" s="1"/>
  <c r="K335" i="1"/>
  <c r="H335" i="1"/>
  <c r="Q335" i="1" s="1"/>
  <c r="F225" i="1"/>
  <c r="H225" i="1" s="1"/>
  <c r="Q225" i="1" s="1"/>
  <c r="F224" i="1"/>
  <c r="H224" i="1" s="1"/>
  <c r="Q224" i="1" s="1"/>
  <c r="H223" i="1"/>
  <c r="Q223" i="1" s="1"/>
  <c r="H222" i="1"/>
  <c r="Q222" i="1" s="1"/>
  <c r="K221" i="1"/>
  <c r="F221" i="1"/>
  <c r="H221" i="1" s="1"/>
  <c r="Q221" i="1" s="1"/>
  <c r="F216" i="1"/>
  <c r="F218" i="1" s="1"/>
  <c r="H218" i="1" s="1"/>
  <c r="Q218" i="1" s="1"/>
  <c r="H215" i="1"/>
  <c r="F213" i="1"/>
  <c r="H213" i="1" s="1"/>
  <c r="Q213" i="1" s="1"/>
  <c r="K212" i="1"/>
  <c r="F212" i="1"/>
  <c r="H212" i="1" s="1"/>
  <c r="Q212" i="1" s="1"/>
  <c r="H211" i="1"/>
  <c r="Q211" i="1" s="1"/>
  <c r="H210" i="1"/>
  <c r="Q210" i="1" s="1"/>
  <c r="F209" i="1"/>
  <c r="H209" i="1" s="1"/>
  <c r="Q209" i="1" s="1"/>
  <c r="K205" i="1"/>
  <c r="F204" i="1"/>
  <c r="F206" i="1" s="1"/>
  <c r="H206" i="1" s="1"/>
  <c r="Q206" i="1" s="1"/>
  <c r="H203" i="1"/>
  <c r="K201" i="1"/>
  <c r="F201" i="1"/>
  <c r="H201" i="1" s="1"/>
  <c r="Q201" i="1" s="1"/>
  <c r="K200" i="1"/>
  <c r="F200" i="1"/>
  <c r="H200" i="1" s="1"/>
  <c r="Q200" i="1" s="1"/>
  <c r="K199" i="1"/>
  <c r="F199" i="1"/>
  <c r="H199" i="1" s="1"/>
  <c r="Q199" i="1" s="1"/>
  <c r="H198" i="1"/>
  <c r="Q198" i="1" s="1"/>
  <c r="K197" i="1"/>
  <c r="F197" i="1"/>
  <c r="H197" i="1" s="1"/>
  <c r="Q197" i="1" s="1"/>
  <c r="K196" i="1"/>
  <c r="F196" i="1"/>
  <c r="H196" i="1" s="1"/>
  <c r="Q196" i="1" s="1"/>
  <c r="K195" i="1"/>
  <c r="K194" i="1"/>
  <c r="K193" i="1"/>
  <c r="K192" i="1"/>
  <c r="F191" i="1"/>
  <c r="F193" i="1" s="1"/>
  <c r="H193" i="1" s="1"/>
  <c r="Q193" i="1" s="1"/>
  <c r="F190" i="1"/>
  <c r="H190" i="1" s="1"/>
  <c r="K184" i="1"/>
  <c r="H184" i="1"/>
  <c r="Q184" i="1" s="1"/>
  <c r="K183" i="1"/>
  <c r="H183" i="1"/>
  <c r="Q183" i="1" s="1"/>
  <c r="K128" i="1"/>
  <c r="H128" i="1"/>
  <c r="Q128" i="1" s="1"/>
  <c r="K133" i="1"/>
  <c r="F133" i="1"/>
  <c r="H133" i="1" s="1"/>
  <c r="Q133" i="1" s="1"/>
  <c r="K132" i="1"/>
  <c r="H132" i="1"/>
  <c r="Q132" i="1" s="1"/>
  <c r="K131" i="1"/>
  <c r="H131" i="1"/>
  <c r="Q131" i="1" s="1"/>
  <c r="K125" i="1"/>
  <c r="H125" i="1"/>
  <c r="Q125" i="1" s="1"/>
  <c r="K124" i="1"/>
  <c r="H124" i="1"/>
  <c r="Q124" i="1" s="1"/>
  <c r="K123" i="1"/>
  <c r="H123" i="1"/>
  <c r="Q123" i="1" s="1"/>
  <c r="K122" i="1"/>
  <c r="H122" i="1"/>
  <c r="Q122" i="1" s="1"/>
  <c r="K121" i="1"/>
  <c r="H121" i="1"/>
  <c r="Q121" i="1" s="1"/>
  <c r="K119" i="1"/>
  <c r="F119" i="1"/>
  <c r="H119" i="1" s="1"/>
  <c r="Q119" i="1" s="1"/>
  <c r="K118" i="1"/>
  <c r="F118" i="1"/>
  <c r="H118" i="1" s="1"/>
  <c r="Q118" i="1" s="1"/>
  <c r="K117" i="1"/>
  <c r="F117" i="1"/>
  <c r="H117" i="1" s="1"/>
  <c r="Q117" i="1" s="1"/>
  <c r="K116" i="1"/>
  <c r="F116" i="1"/>
  <c r="H116" i="1" s="1"/>
  <c r="Q116" i="1" s="1"/>
  <c r="K100" i="1"/>
  <c r="F100" i="1"/>
  <c r="H100" i="1" s="1"/>
  <c r="Q100" i="1" s="1"/>
  <c r="K99" i="1"/>
  <c r="F99" i="1"/>
  <c r="H99" i="1" s="1"/>
  <c r="Q99" i="1" s="1"/>
  <c r="K98" i="1"/>
  <c r="H98" i="1"/>
  <c r="Q98" i="1" s="1"/>
  <c r="K89" i="1"/>
  <c r="H89" i="1"/>
  <c r="Q89" i="1" s="1"/>
  <c r="N9" i="1"/>
  <c r="N536" i="1" l="1"/>
  <c r="C26" i="4" s="1"/>
  <c r="D26" i="4" s="1"/>
  <c r="M116" i="1"/>
  <c r="P116" i="1"/>
  <c r="M118" i="1"/>
  <c r="N118" i="1" s="1"/>
  <c r="P118" i="1"/>
  <c r="M121" i="1"/>
  <c r="N121" i="1" s="1"/>
  <c r="P121" i="1"/>
  <c r="M123" i="1"/>
  <c r="N123" i="1" s="1"/>
  <c r="P123" i="1"/>
  <c r="M125" i="1"/>
  <c r="N125" i="1" s="1"/>
  <c r="P125" i="1"/>
  <c r="M132" i="1"/>
  <c r="N132" i="1" s="1"/>
  <c r="P132" i="1"/>
  <c r="M128" i="1"/>
  <c r="N128" i="1" s="1"/>
  <c r="P128" i="1"/>
  <c r="M184" i="1"/>
  <c r="N184" i="1" s="1"/>
  <c r="P184" i="1"/>
  <c r="M193" i="1"/>
  <c r="N193" i="1" s="1"/>
  <c r="P193" i="1"/>
  <c r="M196" i="1"/>
  <c r="N196" i="1" s="1"/>
  <c r="P196" i="1"/>
  <c r="M198" i="1"/>
  <c r="N198" i="1" s="1"/>
  <c r="P198" i="1"/>
  <c r="M200" i="1"/>
  <c r="N200" i="1" s="1"/>
  <c r="P200" i="1"/>
  <c r="M208" i="1"/>
  <c r="M210" i="1"/>
  <c r="N210" i="1" s="1"/>
  <c r="P210" i="1"/>
  <c r="M212" i="1"/>
  <c r="N212" i="1" s="1"/>
  <c r="P212" i="1"/>
  <c r="M220" i="1"/>
  <c r="M222" i="1"/>
  <c r="N222" i="1" s="1"/>
  <c r="P222" i="1"/>
  <c r="M224" i="1"/>
  <c r="N224" i="1" s="1"/>
  <c r="P224" i="1"/>
  <c r="M335" i="1"/>
  <c r="N335" i="1" s="1"/>
  <c r="P335" i="1"/>
  <c r="M340" i="1"/>
  <c r="N340" i="1" s="1"/>
  <c r="P340" i="1"/>
  <c r="M342" i="1"/>
  <c r="N342" i="1" s="1"/>
  <c r="P342" i="1"/>
  <c r="M345" i="1"/>
  <c r="P345" i="1"/>
  <c r="M347" i="1"/>
  <c r="N347" i="1" s="1"/>
  <c r="P347" i="1"/>
  <c r="M349" i="1"/>
  <c r="P349" i="1"/>
  <c r="Q190" i="1"/>
  <c r="P190" i="1"/>
  <c r="M194" i="1"/>
  <c r="M205" i="1"/>
  <c r="M217" i="1"/>
  <c r="M117" i="1"/>
  <c r="N117" i="1" s="1"/>
  <c r="P117" i="1"/>
  <c r="M119" i="1"/>
  <c r="N119" i="1" s="1"/>
  <c r="P119" i="1"/>
  <c r="M122" i="1"/>
  <c r="N122" i="1" s="1"/>
  <c r="P122" i="1"/>
  <c r="M124" i="1"/>
  <c r="N124" i="1" s="1"/>
  <c r="P124" i="1"/>
  <c r="M131" i="1"/>
  <c r="N131" i="1" s="1"/>
  <c r="P131" i="1"/>
  <c r="M133" i="1"/>
  <c r="N133" i="1" s="1"/>
  <c r="P133" i="1"/>
  <c r="M183" i="1"/>
  <c r="N183" i="1" s="1"/>
  <c r="P183" i="1"/>
  <c r="M195" i="1"/>
  <c r="M197" i="1"/>
  <c r="N197" i="1" s="1"/>
  <c r="P197" i="1"/>
  <c r="M199" i="1"/>
  <c r="N199" i="1" s="1"/>
  <c r="P199" i="1"/>
  <c r="M201" i="1"/>
  <c r="N201" i="1" s="1"/>
  <c r="P201" i="1"/>
  <c r="M206" i="1"/>
  <c r="N206" i="1" s="1"/>
  <c r="P206" i="1"/>
  <c r="M209" i="1"/>
  <c r="N209" i="1" s="1"/>
  <c r="P209" i="1"/>
  <c r="M211" i="1"/>
  <c r="N211" i="1" s="1"/>
  <c r="P211" i="1"/>
  <c r="M213" i="1"/>
  <c r="N213" i="1" s="1"/>
  <c r="P213" i="1"/>
  <c r="M218" i="1"/>
  <c r="N218" i="1" s="1"/>
  <c r="P218" i="1"/>
  <c r="M221" i="1"/>
  <c r="N221" i="1" s="1"/>
  <c r="P221" i="1"/>
  <c r="M223" i="1"/>
  <c r="N223" i="1" s="1"/>
  <c r="P223" i="1"/>
  <c r="M225" i="1"/>
  <c r="N225" i="1" s="1"/>
  <c r="P225" i="1"/>
  <c r="M337" i="1"/>
  <c r="N337" i="1" s="1"/>
  <c r="P337" i="1"/>
  <c r="M341" i="1"/>
  <c r="N341" i="1" s="1"/>
  <c r="P341" i="1"/>
  <c r="M343" i="1"/>
  <c r="N343" i="1" s="1"/>
  <c r="P343" i="1"/>
  <c r="M346" i="1"/>
  <c r="N346" i="1" s="1"/>
  <c r="P346" i="1"/>
  <c r="M348" i="1"/>
  <c r="N348" i="1" s="1"/>
  <c r="P348" i="1"/>
  <c r="M192" i="1"/>
  <c r="Q203" i="1"/>
  <c r="P203" i="1"/>
  <c r="M207" i="1"/>
  <c r="Q215" i="1"/>
  <c r="P215" i="1"/>
  <c r="M219" i="1"/>
  <c r="M100" i="1"/>
  <c r="N100" i="1" s="1"/>
  <c r="P100" i="1"/>
  <c r="M98" i="1"/>
  <c r="N98" i="1" s="1"/>
  <c r="P98" i="1"/>
  <c r="M99" i="1"/>
  <c r="N99" i="1" s="1"/>
  <c r="P99" i="1"/>
  <c r="M89" i="1"/>
  <c r="N89" i="1" s="1"/>
  <c r="P89" i="1"/>
  <c r="N349" i="1"/>
  <c r="N345" i="1"/>
  <c r="F219" i="1"/>
  <c r="H219" i="1" s="1"/>
  <c r="P219" i="1" s="1"/>
  <c r="F194" i="1"/>
  <c r="H194" i="1" s="1"/>
  <c r="P194" i="1" s="1"/>
  <c r="F207" i="1"/>
  <c r="H207" i="1" s="1"/>
  <c r="P207" i="1" s="1"/>
  <c r="H191" i="1"/>
  <c r="H204" i="1"/>
  <c r="N116" i="1"/>
  <c r="H216" i="1"/>
  <c r="N138" i="1" l="1"/>
  <c r="N404" i="1"/>
  <c r="C16" i="4"/>
  <c r="D16" i="4" s="1"/>
  <c r="F205" i="1"/>
  <c r="H205" i="1" s="1"/>
  <c r="Q204" i="1"/>
  <c r="P204" i="1"/>
  <c r="F217" i="1"/>
  <c r="F220" i="1" s="1"/>
  <c r="H220" i="1" s="1"/>
  <c r="Q216" i="1"/>
  <c r="P216" i="1"/>
  <c r="F192" i="1"/>
  <c r="F195" i="1" s="1"/>
  <c r="H195" i="1" s="1"/>
  <c r="Q191" i="1"/>
  <c r="P191" i="1"/>
  <c r="N207" i="1"/>
  <c r="Q207" i="1"/>
  <c r="N219" i="1"/>
  <c r="Q219" i="1"/>
  <c r="N194" i="1"/>
  <c r="Q194" i="1"/>
  <c r="C22" i="4" l="1"/>
  <c r="D22" i="4" s="1"/>
  <c r="N220" i="1"/>
  <c r="Q220" i="1"/>
  <c r="P220" i="1"/>
  <c r="N195" i="1"/>
  <c r="Q195" i="1"/>
  <c r="P195" i="1"/>
  <c r="N205" i="1"/>
  <c r="Q205" i="1"/>
  <c r="P205" i="1"/>
  <c r="H192" i="1"/>
  <c r="H217" i="1"/>
  <c r="F208" i="1"/>
  <c r="H208" i="1" s="1"/>
  <c r="K280" i="1"/>
  <c r="H280" i="1"/>
  <c r="Q280" i="1" s="1"/>
  <c r="K279" i="1"/>
  <c r="H279" i="1"/>
  <c r="Q279" i="1" s="1"/>
  <c r="K270" i="1"/>
  <c r="H270" i="1"/>
  <c r="Q270" i="1" s="1"/>
  <c r="K268" i="1"/>
  <c r="H268" i="1"/>
  <c r="Q268" i="1" s="1"/>
  <c r="K250" i="1"/>
  <c r="F250" i="1"/>
  <c r="H250" i="1" s="1"/>
  <c r="Q250" i="1" s="1"/>
  <c r="F247" i="1"/>
  <c r="H247" i="1" s="1"/>
  <c r="Q247" i="1" s="1"/>
  <c r="F246" i="1"/>
  <c r="H246" i="1" s="1"/>
  <c r="Q246" i="1" s="1"/>
  <c r="F245" i="1"/>
  <c r="H245" i="1" s="1"/>
  <c r="Q245" i="1" s="1"/>
  <c r="F244" i="1"/>
  <c r="H244" i="1" s="1"/>
  <c r="Q244" i="1" s="1"/>
  <c r="K243" i="1"/>
  <c r="F243" i="1"/>
  <c r="H243" i="1" s="1"/>
  <c r="Q243" i="1" s="1"/>
  <c r="K242" i="1"/>
  <c r="F242" i="1"/>
  <c r="H242" i="1" s="1"/>
  <c r="Q242" i="1" s="1"/>
  <c r="K238" i="1"/>
  <c r="H238" i="1"/>
  <c r="Q238" i="1" s="1"/>
  <c r="K235" i="1"/>
  <c r="H235" i="1"/>
  <c r="Q235" i="1" s="1"/>
  <c r="K234" i="1"/>
  <c r="H234" i="1"/>
  <c r="Q234" i="1" s="1"/>
  <c r="K233" i="1"/>
  <c r="F233" i="1"/>
  <c r="H233" i="1" s="1"/>
  <c r="Q233" i="1" s="1"/>
  <c r="K231" i="1"/>
  <c r="H231" i="1"/>
  <c r="Q231" i="1" s="1"/>
  <c r="K230" i="1"/>
  <c r="H230" i="1"/>
  <c r="Q230" i="1" s="1"/>
  <c r="K229" i="1"/>
  <c r="H229" i="1"/>
  <c r="Q229" i="1" s="1"/>
  <c r="K228" i="1"/>
  <c r="H228" i="1"/>
  <c r="Q228" i="1" s="1"/>
  <c r="K109" i="1"/>
  <c r="H109" i="1"/>
  <c r="Q109" i="1" s="1"/>
  <c r="K108" i="1"/>
  <c r="H108" i="1"/>
  <c r="Q108" i="1" s="1"/>
  <c r="K107" i="1"/>
  <c r="H107" i="1"/>
  <c r="Q107" i="1" s="1"/>
  <c r="K106" i="1"/>
  <c r="H106" i="1"/>
  <c r="Q106" i="1" s="1"/>
  <c r="K105" i="1"/>
  <c r="H105" i="1"/>
  <c r="Q105" i="1" s="1"/>
  <c r="K104" i="1"/>
  <c r="H104" i="1"/>
  <c r="Q104" i="1" s="1"/>
  <c r="K103" i="1"/>
  <c r="H103" i="1"/>
  <c r="Q103" i="1" s="1"/>
  <c r="K97" i="1"/>
  <c r="H97" i="1"/>
  <c r="Q97" i="1" s="1"/>
  <c r="K80" i="1"/>
  <c r="F80" i="1"/>
  <c r="H80" i="1" s="1"/>
  <c r="Q80" i="1" s="1"/>
  <c r="K79" i="1"/>
  <c r="H79" i="1"/>
  <c r="Q79" i="1" s="1"/>
  <c r="K78" i="1"/>
  <c r="F78" i="1"/>
  <c r="H78" i="1" s="1"/>
  <c r="Q78" i="1" s="1"/>
  <c r="K73" i="1"/>
  <c r="F73" i="1"/>
  <c r="H73" i="1" s="1"/>
  <c r="Q73" i="1" s="1"/>
  <c r="K71" i="1"/>
  <c r="F71" i="1"/>
  <c r="H71" i="1" s="1"/>
  <c r="Q71" i="1" s="1"/>
  <c r="K70" i="1"/>
  <c r="F70" i="1"/>
  <c r="H70" i="1" s="1"/>
  <c r="Q70" i="1" s="1"/>
  <c r="K69" i="1"/>
  <c r="F69" i="1"/>
  <c r="H69" i="1" s="1"/>
  <c r="Q69" i="1" s="1"/>
  <c r="K67" i="1"/>
  <c r="F67" i="1"/>
  <c r="H67" i="1" s="1"/>
  <c r="Q67" i="1" s="1"/>
  <c r="K66" i="1"/>
  <c r="F66" i="1"/>
  <c r="H66" i="1" s="1"/>
  <c r="Q66" i="1" s="1"/>
  <c r="K65" i="1"/>
  <c r="F65" i="1"/>
  <c r="H65" i="1" s="1"/>
  <c r="Q65" i="1" s="1"/>
  <c r="K64" i="1"/>
  <c r="F64" i="1"/>
  <c r="H64" i="1" s="1"/>
  <c r="Q64" i="1" s="1"/>
  <c r="N208" i="1" l="1"/>
  <c r="Q208" i="1"/>
  <c r="P208" i="1"/>
  <c r="M229" i="1"/>
  <c r="N229" i="1" s="1"/>
  <c r="P229" i="1"/>
  <c r="M231" i="1"/>
  <c r="N231" i="1" s="1"/>
  <c r="P231" i="1"/>
  <c r="M234" i="1"/>
  <c r="N234" i="1" s="1"/>
  <c r="P234" i="1"/>
  <c r="M238" i="1"/>
  <c r="N238" i="1" s="1"/>
  <c r="P238" i="1"/>
  <c r="M243" i="1"/>
  <c r="N243" i="1" s="1"/>
  <c r="P243" i="1"/>
  <c r="M245" i="1"/>
  <c r="N245" i="1" s="1"/>
  <c r="P245" i="1"/>
  <c r="M247" i="1"/>
  <c r="N247" i="1" s="1"/>
  <c r="P247" i="1"/>
  <c r="M268" i="1"/>
  <c r="N268" i="1" s="1"/>
  <c r="P268" i="1"/>
  <c r="M279" i="1"/>
  <c r="N279" i="1" s="1"/>
  <c r="P279" i="1"/>
  <c r="N217" i="1"/>
  <c r="Q217" i="1"/>
  <c r="P217" i="1"/>
  <c r="N192" i="1"/>
  <c r="Q192" i="1"/>
  <c r="P192" i="1"/>
  <c r="M228" i="1"/>
  <c r="N228" i="1" s="1"/>
  <c r="P228" i="1"/>
  <c r="M230" i="1"/>
  <c r="N230" i="1" s="1"/>
  <c r="P230" i="1"/>
  <c r="M233" i="1"/>
  <c r="N233" i="1" s="1"/>
  <c r="P233" i="1"/>
  <c r="M235" i="1"/>
  <c r="N235" i="1" s="1"/>
  <c r="P235" i="1"/>
  <c r="M242" i="1"/>
  <c r="N242" i="1" s="1"/>
  <c r="P242" i="1"/>
  <c r="M244" i="1"/>
  <c r="N244" i="1" s="1"/>
  <c r="P244" i="1"/>
  <c r="M246" i="1"/>
  <c r="N246" i="1" s="1"/>
  <c r="P246" i="1"/>
  <c r="M250" i="1"/>
  <c r="N250" i="1" s="1"/>
  <c r="P250" i="1"/>
  <c r="M270" i="1"/>
  <c r="N270" i="1" s="1"/>
  <c r="P270" i="1"/>
  <c r="M280" i="1"/>
  <c r="N280" i="1" s="1"/>
  <c r="P280" i="1"/>
  <c r="M107" i="1"/>
  <c r="N107" i="1" s="1"/>
  <c r="P107" i="1"/>
  <c r="M109" i="1"/>
  <c r="N109" i="1" s="1"/>
  <c r="P109" i="1"/>
  <c r="M105" i="1"/>
  <c r="N105" i="1" s="1"/>
  <c r="P105" i="1"/>
  <c r="M106" i="1"/>
  <c r="P106" i="1"/>
  <c r="M108" i="1"/>
  <c r="N108" i="1" s="1"/>
  <c r="P108" i="1"/>
  <c r="M104" i="1"/>
  <c r="N104" i="1" s="1"/>
  <c r="P104" i="1"/>
  <c r="M103" i="1"/>
  <c r="N103" i="1" s="1"/>
  <c r="P103" i="1"/>
  <c r="M97" i="1"/>
  <c r="N97" i="1" s="1"/>
  <c r="P97" i="1"/>
  <c r="M80" i="1"/>
  <c r="N80" i="1" s="1"/>
  <c r="P80" i="1"/>
  <c r="M79" i="1"/>
  <c r="N79" i="1" s="1"/>
  <c r="P79" i="1"/>
  <c r="M78" i="1"/>
  <c r="N78" i="1" s="1"/>
  <c r="N81" i="1" s="1"/>
  <c r="P78" i="1"/>
  <c r="M73" i="1"/>
  <c r="N73" i="1" s="1"/>
  <c r="P73" i="1"/>
  <c r="M71" i="1"/>
  <c r="N71" i="1" s="1"/>
  <c r="P71" i="1"/>
  <c r="M70" i="1"/>
  <c r="N70" i="1" s="1"/>
  <c r="P70" i="1"/>
  <c r="M69" i="1"/>
  <c r="N69" i="1" s="1"/>
  <c r="P69" i="1"/>
  <c r="M67" i="1"/>
  <c r="N67" i="1" s="1"/>
  <c r="P67" i="1"/>
  <c r="M66" i="1"/>
  <c r="N66" i="1" s="1"/>
  <c r="P66" i="1"/>
  <c r="M65" i="1"/>
  <c r="N65" i="1" s="1"/>
  <c r="P65" i="1"/>
  <c r="M64" i="1"/>
  <c r="N64" i="1" s="1"/>
  <c r="N74" i="1" s="1"/>
  <c r="P64" i="1"/>
  <c r="N106" i="1"/>
  <c r="N271" i="1" l="1"/>
  <c r="C13" i="4"/>
  <c r="D13" i="4" s="1"/>
  <c r="C12" i="4"/>
  <c r="D12" i="4" s="1"/>
  <c r="C19" i="4"/>
  <c r="D19" i="4" s="1"/>
  <c r="F277" i="1"/>
  <c r="F275" i="1"/>
  <c r="K55" i="1"/>
  <c r="H55" i="1"/>
  <c r="Q55" i="1" s="1"/>
  <c r="K469" i="1"/>
  <c r="F469" i="1"/>
  <c r="H469" i="1" s="1"/>
  <c r="Q469" i="1" s="1"/>
  <c r="F38" i="1"/>
  <c r="K40" i="1"/>
  <c r="H40" i="1"/>
  <c r="Q40" i="1" s="1"/>
  <c r="F25" i="1"/>
  <c r="K24" i="1"/>
  <c r="H24" i="1"/>
  <c r="Q24" i="1" s="1"/>
  <c r="K179" i="1"/>
  <c r="H179" i="1"/>
  <c r="Q179" i="1" s="1"/>
  <c r="K47" i="1"/>
  <c r="H47" i="1"/>
  <c r="Q47" i="1" s="1"/>
  <c r="K256" i="1"/>
  <c r="H256" i="1"/>
  <c r="Q256" i="1" s="1"/>
  <c r="H254" i="1"/>
  <c r="Q254" i="1" s="1"/>
  <c r="K46" i="1"/>
  <c r="H46" i="1"/>
  <c r="Q46" i="1" s="1"/>
  <c r="F42" i="1"/>
  <c r="H42" i="1" s="1"/>
  <c r="Q42" i="1" s="1"/>
  <c r="K42" i="1"/>
  <c r="K170" i="1"/>
  <c r="H170" i="1"/>
  <c r="Q170" i="1" s="1"/>
  <c r="K169" i="1"/>
  <c r="H169" i="1"/>
  <c r="Q169" i="1" s="1"/>
  <c r="K168" i="1"/>
  <c r="H168" i="1"/>
  <c r="Q168" i="1" s="1"/>
  <c r="K167" i="1"/>
  <c r="H167" i="1"/>
  <c r="Q167" i="1" s="1"/>
  <c r="H178" i="1"/>
  <c r="Q178" i="1" s="1"/>
  <c r="K177" i="1"/>
  <c r="H177" i="1"/>
  <c r="Q177" i="1" s="1"/>
  <c r="K176" i="1"/>
  <c r="H176" i="1"/>
  <c r="Q176" i="1" s="1"/>
  <c r="K175" i="1"/>
  <c r="H175" i="1"/>
  <c r="Q175" i="1" s="1"/>
  <c r="K174" i="1"/>
  <c r="H174" i="1"/>
  <c r="Q174" i="1" s="1"/>
  <c r="K173" i="1"/>
  <c r="H173" i="1"/>
  <c r="Q173" i="1" s="1"/>
  <c r="K166" i="1"/>
  <c r="H166" i="1"/>
  <c r="Q166" i="1" s="1"/>
  <c r="K165" i="1"/>
  <c r="H165" i="1"/>
  <c r="Q165" i="1" s="1"/>
  <c r="F261" i="1"/>
  <c r="M176" i="1" l="1"/>
  <c r="N176" i="1" s="1"/>
  <c r="P176" i="1"/>
  <c r="M168" i="1"/>
  <c r="N168" i="1" s="1"/>
  <c r="P168" i="1"/>
  <c r="M46" i="1"/>
  <c r="N46" i="1" s="1"/>
  <c r="P46" i="1"/>
  <c r="M469" i="1"/>
  <c r="N469" i="1" s="1"/>
  <c r="N485" i="1" s="1"/>
  <c r="P469" i="1"/>
  <c r="M42" i="1"/>
  <c r="N42" i="1" s="1"/>
  <c r="P42" i="1"/>
  <c r="M40" i="1"/>
  <c r="N40" i="1" s="1"/>
  <c r="P40" i="1"/>
  <c r="M165" i="1"/>
  <c r="N165" i="1" s="1"/>
  <c r="P165" i="1"/>
  <c r="M173" i="1"/>
  <c r="N173" i="1" s="1"/>
  <c r="P173" i="1"/>
  <c r="M175" i="1"/>
  <c r="N175" i="1" s="1"/>
  <c r="P175" i="1"/>
  <c r="M177" i="1"/>
  <c r="N177" i="1" s="1"/>
  <c r="P177" i="1"/>
  <c r="M167" i="1"/>
  <c r="N167" i="1" s="1"/>
  <c r="P167" i="1"/>
  <c r="M169" i="1"/>
  <c r="N169" i="1" s="1"/>
  <c r="P169" i="1"/>
  <c r="M254" i="1"/>
  <c r="N254" i="1" s="1"/>
  <c r="P254" i="1"/>
  <c r="M47" i="1"/>
  <c r="N47" i="1" s="1"/>
  <c r="P47" i="1"/>
  <c r="M24" i="1"/>
  <c r="N24" i="1" s="1"/>
  <c r="P24" i="1"/>
  <c r="M55" i="1"/>
  <c r="N55" i="1" s="1"/>
  <c r="P55" i="1"/>
  <c r="M166" i="1"/>
  <c r="N166" i="1" s="1"/>
  <c r="P166" i="1"/>
  <c r="M170" i="1"/>
  <c r="N170" i="1" s="1"/>
  <c r="P170" i="1"/>
  <c r="M256" i="1"/>
  <c r="N256" i="1" s="1"/>
  <c r="P256" i="1"/>
  <c r="M174" i="1"/>
  <c r="N174" i="1" s="1"/>
  <c r="P174" i="1"/>
  <c r="M178" i="1"/>
  <c r="N178" i="1" s="1"/>
  <c r="P178" i="1"/>
  <c r="M179" i="1"/>
  <c r="N179" i="1" s="1"/>
  <c r="P179" i="1"/>
  <c r="C25" i="4" l="1"/>
  <c r="D25" i="4" s="1"/>
  <c r="H45" i="1"/>
  <c r="Q45" i="1" s="1"/>
  <c r="H41" i="1"/>
  <c r="Q41" i="1" s="1"/>
  <c r="H39" i="1"/>
  <c r="Q39" i="1" s="1"/>
  <c r="H38" i="1"/>
  <c r="Q38" i="1" s="1"/>
  <c r="H30" i="1"/>
  <c r="Q30" i="1" s="1"/>
  <c r="F29" i="1"/>
  <c r="F27" i="1"/>
  <c r="K45" i="1"/>
  <c r="K44" i="1"/>
  <c r="H44" i="1"/>
  <c r="Q44" i="1" s="1"/>
  <c r="K43" i="1"/>
  <c r="H43" i="1"/>
  <c r="Q43" i="1" s="1"/>
  <c r="K41" i="1"/>
  <c r="K39" i="1"/>
  <c r="K38" i="1"/>
  <c r="K37" i="1"/>
  <c r="H37" i="1"/>
  <c r="Q37" i="1" s="1"/>
  <c r="K36" i="1"/>
  <c r="H36" i="1"/>
  <c r="Q36" i="1" s="1"/>
  <c r="K35" i="1"/>
  <c r="H35" i="1"/>
  <c r="Q35" i="1" s="1"/>
  <c r="K34" i="1"/>
  <c r="H34" i="1"/>
  <c r="Q34" i="1" s="1"/>
  <c r="K33" i="1"/>
  <c r="H33" i="1"/>
  <c r="Q33" i="1" s="1"/>
  <c r="K32" i="1"/>
  <c r="H32" i="1"/>
  <c r="Q32" i="1" s="1"/>
  <c r="K31" i="1"/>
  <c r="H31" i="1"/>
  <c r="Q31" i="1" s="1"/>
  <c r="K30" i="1"/>
  <c r="M38" i="1" l="1"/>
  <c r="N38" i="1" s="1"/>
  <c r="P38" i="1"/>
  <c r="M43" i="1"/>
  <c r="N43" i="1" s="1"/>
  <c r="P43" i="1"/>
  <c r="M30" i="1"/>
  <c r="P30" i="1"/>
  <c r="M32" i="1"/>
  <c r="N32" i="1" s="1"/>
  <c r="P32" i="1"/>
  <c r="M34" i="1"/>
  <c r="N34" i="1" s="1"/>
  <c r="P34" i="1"/>
  <c r="M36" i="1"/>
  <c r="N36" i="1" s="1"/>
  <c r="P36" i="1"/>
  <c r="M39" i="1"/>
  <c r="N39" i="1" s="1"/>
  <c r="P39" i="1"/>
  <c r="M41" i="1"/>
  <c r="N41" i="1" s="1"/>
  <c r="P41" i="1"/>
  <c r="M44" i="1"/>
  <c r="N44" i="1" s="1"/>
  <c r="P44" i="1"/>
  <c r="M31" i="1"/>
  <c r="N31" i="1" s="1"/>
  <c r="P31" i="1"/>
  <c r="M33" i="1"/>
  <c r="N33" i="1" s="1"/>
  <c r="P33" i="1"/>
  <c r="M35" i="1"/>
  <c r="N35" i="1" s="1"/>
  <c r="P35" i="1"/>
  <c r="M37" i="1"/>
  <c r="N37" i="1" s="1"/>
  <c r="P37" i="1"/>
  <c r="M45" i="1"/>
  <c r="N45" i="1" s="1"/>
  <c r="P45" i="1"/>
  <c r="N30" i="1"/>
  <c r="H18" i="1"/>
  <c r="N18" i="1" s="1"/>
  <c r="H17" i="1"/>
  <c r="N17" i="1" s="1"/>
  <c r="H16" i="1"/>
  <c r="N16" i="1" s="1"/>
  <c r="H15" i="1"/>
  <c r="N15" i="1" s="1"/>
  <c r="H14" i="1"/>
  <c r="N14" i="1" s="1"/>
  <c r="H13" i="1"/>
  <c r="N13" i="1" s="1"/>
  <c r="H12" i="1"/>
  <c r="N12" i="1" s="1"/>
  <c r="A12" i="1"/>
  <c r="N19" i="1" l="1"/>
  <c r="A13" i="1"/>
  <c r="A14" i="1" l="1"/>
  <c r="A15" i="1" l="1"/>
  <c r="A16" i="1" l="1"/>
  <c r="A17" i="1" l="1"/>
  <c r="H142" i="1"/>
  <c r="Q142" i="1" s="1"/>
  <c r="H152" i="1"/>
  <c r="Q152" i="1" s="1"/>
  <c r="K148" i="1"/>
  <c r="H148" i="1"/>
  <c r="Q148" i="1" s="1"/>
  <c r="K147" i="1"/>
  <c r="H147" i="1"/>
  <c r="Q147" i="1" s="1"/>
  <c r="K146" i="1"/>
  <c r="H146" i="1"/>
  <c r="Q146" i="1" s="1"/>
  <c r="H145" i="1"/>
  <c r="Q145" i="1" s="1"/>
  <c r="K144" i="1"/>
  <c r="H144" i="1"/>
  <c r="Q144" i="1" s="1"/>
  <c r="K143" i="1"/>
  <c r="H143" i="1"/>
  <c r="Q143" i="1" s="1"/>
  <c r="K142" i="1"/>
  <c r="K160" i="1"/>
  <c r="H160" i="1"/>
  <c r="Q160" i="1" s="1"/>
  <c r="K159" i="1"/>
  <c r="H159" i="1"/>
  <c r="Q159" i="1" s="1"/>
  <c r="K158" i="1"/>
  <c r="H158" i="1"/>
  <c r="Q158" i="1" s="1"/>
  <c r="K154" i="1"/>
  <c r="H154" i="1"/>
  <c r="Q154" i="1" s="1"/>
  <c r="K153" i="1"/>
  <c r="H153" i="1"/>
  <c r="Q153" i="1" s="1"/>
  <c r="K152" i="1"/>
  <c r="K151" i="1"/>
  <c r="H151" i="1"/>
  <c r="Q151" i="1" s="1"/>
  <c r="K150" i="1"/>
  <c r="H150" i="1"/>
  <c r="Q150" i="1" s="1"/>
  <c r="B6" i="4"/>
  <c r="K277" i="1"/>
  <c r="H277" i="1"/>
  <c r="Q277" i="1" s="1"/>
  <c r="K276" i="1"/>
  <c r="H276" i="1"/>
  <c r="Q276" i="1" s="1"/>
  <c r="K275" i="1"/>
  <c r="H275" i="1"/>
  <c r="Q275" i="1" s="1"/>
  <c r="A18" i="1" l="1"/>
  <c r="M276" i="1"/>
  <c r="N276" i="1" s="1"/>
  <c r="P276" i="1"/>
  <c r="M152" i="1"/>
  <c r="N152" i="1" s="1"/>
  <c r="P152" i="1"/>
  <c r="M154" i="1"/>
  <c r="N154" i="1" s="1"/>
  <c r="P154" i="1"/>
  <c r="M159" i="1"/>
  <c r="N159" i="1" s="1"/>
  <c r="P159" i="1"/>
  <c r="M144" i="1"/>
  <c r="N144" i="1" s="1"/>
  <c r="P144" i="1"/>
  <c r="M150" i="1"/>
  <c r="N150" i="1" s="1"/>
  <c r="P150" i="1"/>
  <c r="M143" i="1"/>
  <c r="N143" i="1" s="1"/>
  <c r="P143" i="1"/>
  <c r="M145" i="1"/>
  <c r="N145" i="1" s="1"/>
  <c r="P145" i="1"/>
  <c r="M147" i="1"/>
  <c r="N147" i="1" s="1"/>
  <c r="P147" i="1"/>
  <c r="M151" i="1"/>
  <c r="N151" i="1" s="1"/>
  <c r="P151" i="1"/>
  <c r="M142" i="1"/>
  <c r="N142" i="1" s="1"/>
  <c r="P142" i="1"/>
  <c r="M146" i="1"/>
  <c r="N146" i="1" s="1"/>
  <c r="P146" i="1"/>
  <c r="M148" i="1"/>
  <c r="N148" i="1" s="1"/>
  <c r="P148" i="1"/>
  <c r="M275" i="1"/>
  <c r="N275" i="1" s="1"/>
  <c r="N281" i="1" s="1"/>
  <c r="P275" i="1"/>
  <c r="M277" i="1"/>
  <c r="N277" i="1" s="1"/>
  <c r="P277" i="1"/>
  <c r="M153" i="1"/>
  <c r="N153" i="1" s="1"/>
  <c r="P153" i="1"/>
  <c r="M158" i="1"/>
  <c r="N158" i="1" s="1"/>
  <c r="P158" i="1"/>
  <c r="M160" i="1"/>
  <c r="N160" i="1" s="1"/>
  <c r="P160" i="1"/>
  <c r="A23" i="1"/>
  <c r="A24" i="1" s="1"/>
  <c r="A25" i="1" s="1"/>
  <c r="A26" i="1" s="1"/>
  <c r="A27" i="1" s="1"/>
  <c r="A28" i="1" s="1"/>
  <c r="A29" i="1" s="1"/>
  <c r="A30" i="1" s="1"/>
  <c r="A31" i="1" s="1"/>
  <c r="A32" i="1" s="1"/>
  <c r="C20" i="4" l="1"/>
  <c r="D20" i="4" s="1"/>
  <c r="A33" i="1"/>
  <c r="A34" i="1" s="1"/>
  <c r="A35" i="1" s="1"/>
  <c r="A36" i="1" s="1"/>
  <c r="A37" i="1" s="1"/>
  <c r="A38" i="1" s="1"/>
  <c r="A39" i="1" s="1"/>
  <c r="A40" i="1" s="1"/>
  <c r="A41" i="1" s="1"/>
  <c r="A42" i="1" s="1"/>
  <c r="A43" i="1" s="1"/>
  <c r="A44" i="1" s="1"/>
  <c r="A45" i="1" s="1"/>
  <c r="A46" i="1" s="1"/>
  <c r="A47" i="1" s="1"/>
  <c r="A48" i="1" s="1"/>
  <c r="A49" i="1" s="1"/>
  <c r="A50" i="1" s="1"/>
  <c r="A51" i="1" s="1"/>
  <c r="A52" i="1" s="1"/>
  <c r="A53" i="1" s="1"/>
  <c r="A55" i="1" s="1"/>
  <c r="A57" i="1" s="1"/>
  <c r="A58" i="1" s="1"/>
  <c r="A64" i="1" s="1"/>
  <c r="A65" i="1" s="1"/>
  <c r="A66" i="1" s="1"/>
  <c r="A67" i="1" s="1"/>
  <c r="A69" i="1" s="1"/>
  <c r="A70" i="1" s="1"/>
  <c r="A71" i="1" s="1"/>
  <c r="A73" i="1" s="1"/>
  <c r="A78" i="1" s="1"/>
  <c r="A79" i="1" s="1"/>
  <c r="A80" i="1" s="1"/>
  <c r="A86" i="1" s="1"/>
  <c r="A89" i="1" s="1"/>
  <c r="A95" i="1" s="1"/>
  <c r="A97" i="1" s="1"/>
  <c r="A98" i="1" s="1"/>
  <c r="A99" i="1" s="1"/>
  <c r="A100" i="1" s="1"/>
  <c r="A103" i="1" s="1"/>
  <c r="A104" i="1" s="1"/>
  <c r="A105" i="1" s="1"/>
  <c r="A106" i="1" s="1"/>
  <c r="A107" i="1" s="1"/>
  <c r="A108" i="1" s="1"/>
  <c r="A109" i="1" s="1"/>
  <c r="A116" i="1" s="1"/>
  <c r="A117" i="1" s="1"/>
  <c r="A118" i="1" s="1"/>
  <c r="A119" i="1" s="1"/>
  <c r="A121" i="1" s="1"/>
  <c r="A122" i="1" s="1"/>
  <c r="A123" i="1" s="1"/>
  <c r="A124" i="1" s="1"/>
  <c r="A125" i="1" s="1"/>
  <c r="A126" i="1" s="1"/>
  <c r="A128" i="1" s="1"/>
  <c r="A131" i="1" s="1"/>
  <c r="A132" i="1" s="1"/>
  <c r="A133" i="1" s="1"/>
  <c r="A136" i="1" s="1"/>
  <c r="A137" i="1" s="1"/>
  <c r="A142" i="1" s="1"/>
  <c r="A143" i="1" s="1"/>
  <c r="A144" i="1" s="1"/>
  <c r="A145" i="1" s="1"/>
  <c r="A146" i="1" s="1"/>
  <c r="A147" i="1" s="1"/>
  <c r="A148" i="1" s="1"/>
  <c r="A150" i="1" s="1"/>
  <c r="A151" i="1" s="1"/>
  <c r="A152" i="1" s="1"/>
  <c r="A153" i="1" s="1"/>
  <c r="A154" i="1" s="1"/>
  <c r="A156" i="1" s="1"/>
  <c r="A158" i="1" s="1"/>
  <c r="A159" i="1" s="1"/>
  <c r="A160" i="1" s="1"/>
  <c r="A163" i="1" s="1"/>
  <c r="A164" i="1" s="1"/>
  <c r="A165" i="1" s="1"/>
  <c r="A166" i="1" s="1"/>
  <c r="A167" i="1" s="1"/>
  <c r="A168" i="1" s="1"/>
  <c r="A169" i="1" s="1"/>
  <c r="A170" i="1" s="1"/>
  <c r="A173" i="1" s="1"/>
  <c r="A174" i="1" s="1"/>
  <c r="A175" i="1" s="1"/>
  <c r="A176" i="1" s="1"/>
  <c r="A177" i="1" s="1"/>
  <c r="A178" i="1" s="1"/>
  <c r="A179" i="1" s="1"/>
  <c r="A183" i="1" s="1"/>
  <c r="A184" i="1" s="1"/>
  <c r="A190" i="1" s="1"/>
  <c r="A191" i="1" s="1"/>
  <c r="A192" i="1" s="1"/>
  <c r="A193" i="1" s="1"/>
  <c r="A194" i="1" s="1"/>
  <c r="A195" i="1" s="1"/>
  <c r="A196" i="1" s="1"/>
  <c r="A197" i="1" s="1"/>
  <c r="A198" i="1" s="1"/>
  <c r="A199" i="1" s="1"/>
  <c r="A200" i="1" s="1"/>
  <c r="A201" i="1" s="1"/>
  <c r="A203" i="1" s="1"/>
  <c r="A204" i="1" s="1"/>
  <c r="A205" i="1" s="1"/>
  <c r="A206" i="1" s="1"/>
  <c r="A207" i="1" s="1"/>
  <c r="A208" i="1" s="1"/>
  <c r="A209" i="1" s="1"/>
  <c r="A210" i="1" s="1"/>
  <c r="A211" i="1" s="1"/>
  <c r="A212" i="1" s="1"/>
  <c r="A213" i="1" s="1"/>
  <c r="A215" i="1" s="1"/>
  <c r="A216" i="1" s="1"/>
  <c r="A217" i="1" s="1"/>
  <c r="A218" i="1" s="1"/>
  <c r="A219" i="1" s="1"/>
  <c r="A220" i="1" s="1"/>
  <c r="A221" i="1" s="1"/>
  <c r="A222" i="1" s="1"/>
  <c r="A223" i="1" s="1"/>
  <c r="A224" i="1" s="1"/>
  <c r="A225" i="1" s="1"/>
  <c r="A228" i="1" s="1"/>
  <c r="A229" i="1" s="1"/>
  <c r="A230" i="1" s="1"/>
  <c r="A231" i="1" s="1"/>
  <c r="A233" i="1" s="1"/>
  <c r="A234" i="1" s="1"/>
  <c r="A235" i="1" s="1"/>
  <c r="A238" i="1" s="1"/>
  <c r="A242" i="1" s="1"/>
  <c r="A243" i="1" s="1"/>
  <c r="A244" i="1" s="1"/>
  <c r="A245" i="1" s="1"/>
  <c r="A246" i="1" s="1"/>
  <c r="A247" i="1" s="1"/>
  <c r="A250" i="1" s="1"/>
  <c r="A252" i="1" s="1"/>
  <c r="A253" i="1" s="1"/>
  <c r="A254" i="1" s="1"/>
  <c r="A256" i="1" s="1"/>
  <c r="A258" i="1" s="1"/>
  <c r="A261" i="1" s="1"/>
  <c r="A262" i="1" s="1"/>
  <c r="A263" i="1" s="1"/>
  <c r="A268" i="1" s="1"/>
  <c r="A270" i="1" s="1"/>
  <c r="A275" i="1" s="1"/>
  <c r="A276" i="1" s="1"/>
  <c r="A277" i="1" s="1"/>
  <c r="A279" i="1" s="1"/>
  <c r="A280" i="1" s="1"/>
  <c r="A286" i="1" s="1"/>
  <c r="A287" i="1" s="1"/>
  <c r="A288" i="1" s="1"/>
  <c r="A289" i="1" s="1"/>
  <c r="A291" i="1" s="1"/>
  <c r="A294" i="1" s="1"/>
  <c r="A296" i="1" s="1"/>
  <c r="A299" i="1" s="1"/>
  <c r="A301" i="1" s="1"/>
  <c r="A304" i="1" s="1"/>
  <c r="A307" i="1" s="1"/>
  <c r="A308" i="1" s="1"/>
  <c r="A311" i="1" s="1"/>
  <c r="A313" i="1" s="1"/>
  <c r="A315" i="1" s="1"/>
  <c r="A316" i="1" s="1"/>
  <c r="A317" i="1" s="1"/>
  <c r="A318" i="1" s="1"/>
  <c r="A319" i="1" s="1"/>
  <c r="A321" i="1" s="1"/>
  <c r="A322" i="1" s="1"/>
  <c r="A325" i="1" s="1"/>
  <c r="A327" i="1" s="1"/>
  <c r="A329" i="1" s="1"/>
  <c r="A335" i="1" s="1"/>
  <c r="A337" i="1" s="1"/>
  <c r="A340" i="1" s="1"/>
  <c r="A341" i="1" s="1"/>
  <c r="A342" i="1" s="1"/>
  <c r="A343" i="1" s="1"/>
  <c r="A345" i="1" s="1"/>
  <c r="A346" i="1" s="1"/>
  <c r="A347" i="1" s="1"/>
  <c r="A348" i="1" s="1"/>
  <c r="A349" i="1" s="1"/>
  <c r="A351" i="1" s="1"/>
  <c r="A353" i="1" s="1"/>
  <c r="A355" i="1" s="1"/>
  <c r="A357" i="1" s="1"/>
  <c r="A360" i="1" l="1"/>
  <c r="A361" i="1" s="1"/>
  <c r="A363" i="1" s="1"/>
  <c r="A364" i="1" s="1"/>
  <c r="A366" i="1" s="1"/>
  <c r="A367" i="1" s="1"/>
  <c r="A370" i="1" s="1"/>
  <c r="A371" i="1" s="1"/>
  <c r="A372" i="1" s="1"/>
  <c r="A374" i="1" s="1"/>
  <c r="A375" i="1" s="1"/>
  <c r="A376" i="1" s="1"/>
  <c r="B4" i="4"/>
  <c r="B3" i="4"/>
  <c r="B2" i="4"/>
  <c r="A378" i="1" l="1"/>
  <c r="A380" i="1" s="1"/>
  <c r="A382" i="1" s="1"/>
  <c r="A383" i="1" s="1"/>
  <c r="A384" i="1" s="1"/>
  <c r="A385" i="1" s="1"/>
  <c r="A386" i="1" s="1"/>
  <c r="A388" i="1" s="1"/>
  <c r="A390" i="1" s="1"/>
  <c r="A393" i="1" s="1"/>
  <c r="A394" i="1" s="1"/>
  <c r="A395" i="1" s="1"/>
  <c r="A396" i="1" s="1"/>
  <c r="A397" i="1" s="1"/>
  <c r="A399" i="1" s="1"/>
  <c r="A401" i="1" s="1"/>
  <c r="A403" i="1" s="1"/>
  <c r="A409" i="1" s="1"/>
  <c r="A411" i="1" s="1"/>
  <c r="A412" i="1" s="1"/>
  <c r="A413" i="1" s="1"/>
  <c r="A414" i="1" s="1"/>
  <c r="A416" i="1" s="1"/>
  <c r="A420" i="1" s="1"/>
  <c r="A421" i="1" s="1"/>
  <c r="A422" i="1" s="1"/>
  <c r="A423" i="1" s="1"/>
  <c r="A424" i="1" s="1"/>
  <c r="A425" i="1" s="1"/>
  <c r="A426" i="1" s="1"/>
  <c r="A431" i="1" s="1"/>
  <c r="A432" i="1" s="1"/>
  <c r="A433" i="1" s="1"/>
  <c r="A434" i="1" s="1"/>
  <c r="A435" i="1" s="1"/>
  <c r="A436" i="1" s="1"/>
  <c r="A437" i="1" s="1"/>
  <c r="A438" i="1" s="1"/>
  <c r="A442" i="1" s="1"/>
  <c r="A443" i="1" s="1"/>
  <c r="A445" i="1" s="1"/>
  <c r="A446" i="1" s="1"/>
  <c r="A447" i="1" s="1"/>
  <c r="A448" i="1" s="1"/>
  <c r="A449" i="1" s="1"/>
  <c r="A450" i="1" s="1"/>
  <c r="A451" i="1" s="1"/>
  <c r="A453" i="1" s="1"/>
  <c r="K263" i="1"/>
  <c r="H263" i="1"/>
  <c r="Q263" i="1" s="1"/>
  <c r="K262" i="1"/>
  <c r="H262" i="1"/>
  <c r="Q262" i="1" s="1"/>
  <c r="K261" i="1"/>
  <c r="H261" i="1"/>
  <c r="Q261" i="1" s="1"/>
  <c r="K253" i="1"/>
  <c r="H253" i="1"/>
  <c r="Q253" i="1" s="1"/>
  <c r="K252" i="1"/>
  <c r="H252" i="1"/>
  <c r="Q252" i="1" s="1"/>
  <c r="K163" i="1"/>
  <c r="K164" i="1"/>
  <c r="H164" i="1"/>
  <c r="Q164" i="1" s="1"/>
  <c r="H163" i="1"/>
  <c r="Q163" i="1" s="1"/>
  <c r="K95" i="1"/>
  <c r="K86" i="1"/>
  <c r="H95" i="1"/>
  <c r="Q95" i="1" s="1"/>
  <c r="A455" i="1" l="1"/>
  <c r="A460" i="1" s="1"/>
  <c r="A461" i="1" s="1"/>
  <c r="A462" i="1" s="1"/>
  <c r="A463" i="1" s="1"/>
  <c r="A464" i="1" s="1"/>
  <c r="A469" i="1" s="1"/>
  <c r="A472" i="1" s="1"/>
  <c r="A474" i="1" s="1"/>
  <c r="A475" i="1" s="1"/>
  <c r="A476" i="1" s="1"/>
  <c r="A478" i="1" s="1"/>
  <c r="A479" i="1" s="1"/>
  <c r="A480" i="1" s="1"/>
  <c r="A482" i="1" s="1"/>
  <c r="A483" i="1" s="1"/>
  <c r="A484" i="1" s="1"/>
  <c r="A489" i="1" s="1"/>
  <c r="A491" i="1" s="1"/>
  <c r="A492" i="1" s="1"/>
  <c r="A493" i="1" s="1"/>
  <c r="A495" i="1" s="1"/>
  <c r="A497" i="1" s="1"/>
  <c r="A498" i="1" s="1"/>
  <c r="A499" i="1" s="1"/>
  <c r="A500" i="1" s="1"/>
  <c r="A501" i="1" s="1"/>
  <c r="A503" i="1" s="1"/>
  <c r="A504" i="1" s="1"/>
  <c r="A505" i="1" s="1"/>
  <c r="A507" i="1" s="1"/>
  <c r="A508" i="1" s="1"/>
  <c r="A509" i="1" s="1"/>
  <c r="A511" i="1" s="1"/>
  <c r="A513" i="1" s="1"/>
  <c r="A516" i="1" s="1"/>
  <c r="A517" i="1" s="1"/>
  <c r="A518" i="1" s="1"/>
  <c r="A519" i="1" s="1"/>
  <c r="A521" i="1" s="1"/>
  <c r="A523" i="1" s="1"/>
  <c r="A524" i="1" s="1"/>
  <c r="A525" i="1" s="1"/>
  <c r="A526" i="1" s="1"/>
  <c r="A528" i="1" s="1"/>
  <c r="A529" i="1" s="1"/>
  <c r="A530" i="1" s="1"/>
  <c r="A531" i="1" s="1"/>
  <c r="A533" i="1" s="1"/>
  <c r="A534" i="1" s="1"/>
  <c r="A535" i="1" s="1"/>
  <c r="P263" i="1"/>
  <c r="M164" i="1"/>
  <c r="N164" i="1" s="1"/>
  <c r="P164" i="1"/>
  <c r="M163" i="1"/>
  <c r="N163" i="1" s="1"/>
  <c r="N185" i="1" s="1"/>
  <c r="P163" i="1"/>
  <c r="M253" i="1"/>
  <c r="N253" i="1" s="1"/>
  <c r="P253" i="1"/>
  <c r="M262" i="1"/>
  <c r="N262" i="1" s="1"/>
  <c r="P262" i="1"/>
  <c r="M252" i="1"/>
  <c r="N252" i="1" s="1"/>
  <c r="P252" i="1"/>
  <c r="P261" i="1"/>
  <c r="M95" i="1"/>
  <c r="N95" i="1" s="1"/>
  <c r="N111" i="1" s="1"/>
  <c r="P95" i="1"/>
  <c r="M86" i="1"/>
  <c r="M261" i="1"/>
  <c r="N261" i="1" s="1"/>
  <c r="M263" i="1"/>
  <c r="N263" i="1" s="1"/>
  <c r="H86" i="1"/>
  <c r="Q86" i="1" s="1"/>
  <c r="N264" i="1" l="1"/>
  <c r="C18" i="4" s="1"/>
  <c r="D18" i="4" s="1"/>
  <c r="C17" i="4"/>
  <c r="D17" i="4" s="1"/>
  <c r="P86" i="1"/>
  <c r="C15" i="4"/>
  <c r="D15" i="4" s="1"/>
  <c r="N86" i="1"/>
  <c r="N90" i="1" s="1"/>
  <c r="H29" i="1"/>
  <c r="Q29" i="1" s="1"/>
  <c r="H25" i="1"/>
  <c r="Q25" i="1" s="1"/>
  <c r="H26" i="1"/>
  <c r="Q26" i="1" s="1"/>
  <c r="H27" i="1"/>
  <c r="Q27" i="1" s="1"/>
  <c r="H28" i="1"/>
  <c r="Q28" i="1" s="1"/>
  <c r="H23" i="1"/>
  <c r="Q23" i="1" s="1"/>
  <c r="K29" i="1"/>
  <c r="K28" i="1"/>
  <c r="K27" i="1"/>
  <c r="K26" i="1"/>
  <c r="K23" i="1"/>
  <c r="K25" i="1"/>
  <c r="Q536" i="1" l="1"/>
  <c r="N542" i="1" s="1"/>
  <c r="M23" i="1"/>
  <c r="N23" i="1" s="1"/>
  <c r="P23" i="1"/>
  <c r="M29" i="1"/>
  <c r="N29" i="1" s="1"/>
  <c r="P29" i="1"/>
  <c r="M26" i="1"/>
  <c r="N26" i="1" s="1"/>
  <c r="P26" i="1"/>
  <c r="M27" i="1"/>
  <c r="N27" i="1" s="1"/>
  <c r="P27" i="1"/>
  <c r="M25" i="1"/>
  <c r="N25" i="1" s="1"/>
  <c r="P25" i="1"/>
  <c r="M28" i="1"/>
  <c r="N28" i="1" s="1"/>
  <c r="P28" i="1"/>
  <c r="C14" i="4"/>
  <c r="D14" i="4" s="1"/>
  <c r="N59" i="1" l="1"/>
  <c r="N538" i="1" s="1"/>
  <c r="P536" i="1"/>
  <c r="C10" i="4"/>
  <c r="C11" i="4" l="1"/>
  <c r="D11" i="4" s="1"/>
  <c r="D10" i="4"/>
  <c r="B32" i="4"/>
  <c r="C32" i="4" s="1"/>
  <c r="B31" i="4"/>
  <c r="B30" i="4"/>
  <c r="B29" i="4"/>
  <c r="A4" i="4"/>
  <c r="A3" i="4"/>
  <c r="A2" i="4"/>
  <c r="C27" i="4" l="1"/>
  <c r="C29" i="4" s="1"/>
  <c r="D27" i="4"/>
  <c r="D29" i="4" s="1"/>
  <c r="N540" i="1"/>
  <c r="C31" i="4" l="1"/>
  <c r="D31" i="4"/>
  <c r="D32" i="4"/>
  <c r="D30" i="4"/>
  <c r="N541" i="1"/>
  <c r="N539" i="1"/>
  <c r="N543" i="1" s="1"/>
  <c r="C30" i="4" l="1"/>
  <c r="D33" i="4"/>
  <c r="C33" i="4" l="1"/>
</calcChain>
</file>

<file path=xl/sharedStrings.xml><?xml version="1.0" encoding="utf-8"?>
<sst xmlns="http://schemas.openxmlformats.org/spreadsheetml/2006/main" count="1106" uniqueCount="631">
  <si>
    <t>DESCRIPTION</t>
  </si>
  <si>
    <t>QUANTITY</t>
  </si>
  <si>
    <t>UNIT</t>
  </si>
  <si>
    <t>INSURANCE</t>
  </si>
  <si>
    <t>LS</t>
  </si>
  <si>
    <t>UNIT COST</t>
  </si>
  <si>
    <t>SR #</t>
  </si>
  <si>
    <t>SF</t>
  </si>
  <si>
    <t>Final Cleaning</t>
  </si>
  <si>
    <t>SUB COST</t>
  </si>
  <si>
    <t>PROJECTED COST</t>
  </si>
  <si>
    <t>SUGGESTED BID</t>
  </si>
  <si>
    <t>No. Of Floors:</t>
  </si>
  <si>
    <t>TOTAL DIV. COST</t>
  </si>
  <si>
    <t>TOTAL TRADE COST</t>
  </si>
  <si>
    <t>CONTINGENCY</t>
  </si>
  <si>
    <t>Date:</t>
  </si>
  <si>
    <t>OVERHEAD AND PROFIT</t>
  </si>
  <si>
    <t>GENERAL REQUIREMENTS</t>
  </si>
  <si>
    <t>Scope:</t>
  </si>
  <si>
    <t>WASTAGE</t>
  </si>
  <si>
    <t>QUANTITY W/ WASTAGE</t>
  </si>
  <si>
    <t>SUBTOTAL</t>
  </si>
  <si>
    <t>Prepared for:</t>
  </si>
  <si>
    <t>TAX</t>
  </si>
  <si>
    <t>GENERAL SUMMARY</t>
  </si>
  <si>
    <t>DETAILED BREAKDOWN OF ITEMS</t>
  </si>
  <si>
    <t>LABOR COST</t>
  </si>
  <si>
    <t>MAT. COST</t>
  </si>
  <si>
    <t>BUILDING GSF</t>
  </si>
  <si>
    <t>Electrical</t>
  </si>
  <si>
    <t>Project ID:</t>
  </si>
  <si>
    <t>EA</t>
  </si>
  <si>
    <t>DEMOLITION</t>
  </si>
  <si>
    <t>LF</t>
  </si>
  <si>
    <t>Drawing #</t>
  </si>
  <si>
    <t>Detail #</t>
  </si>
  <si>
    <t>UNIT MANHOUR</t>
  </si>
  <si>
    <t>HOURLY WAGE</t>
  </si>
  <si>
    <t>EXISTING CONDITIONS</t>
  </si>
  <si>
    <t>RELOCATION</t>
  </si>
  <si>
    <t>CONCRETE</t>
  </si>
  <si>
    <t xml:space="preserve">CAST IN PLACE CONCRETE </t>
  </si>
  <si>
    <t>CY</t>
  </si>
  <si>
    <t>LBS</t>
  </si>
  <si>
    <t>Excavation</t>
  </si>
  <si>
    <t>Backfill</t>
  </si>
  <si>
    <t>MASONRY</t>
  </si>
  <si>
    <t>METALS</t>
  </si>
  <si>
    <t xml:space="preserve">STRUCTURAL STEEL </t>
  </si>
  <si>
    <t xml:space="preserve">WOOD &amp; PLASTIC </t>
  </si>
  <si>
    <t xml:space="preserve">ROUGH CARPENTRY </t>
  </si>
  <si>
    <t>Blocking Provided For Millwork</t>
  </si>
  <si>
    <t xml:space="preserve">FINISH CARPENTRY </t>
  </si>
  <si>
    <t>THERMAL &amp; MOISTURE PROTECTION</t>
  </si>
  <si>
    <t>OPENINGS</t>
  </si>
  <si>
    <t>WINDOWS</t>
  </si>
  <si>
    <t>FINISHES</t>
  </si>
  <si>
    <t>FLOORING &amp;WALL BASE</t>
  </si>
  <si>
    <t>Transition Strip</t>
  </si>
  <si>
    <t>CEILINGS</t>
  </si>
  <si>
    <t>PAINTING</t>
  </si>
  <si>
    <t>EXTERIOR FINISHES</t>
  </si>
  <si>
    <t>DRY WALL ASSEMBLIES</t>
  </si>
  <si>
    <t>SPECIALTIES</t>
  </si>
  <si>
    <t>EARTHWORK</t>
  </si>
  <si>
    <t>SITE IMPROVEMENTS</t>
  </si>
  <si>
    <t>LANDSCAPING</t>
  </si>
  <si>
    <t>HVAC</t>
  </si>
  <si>
    <t>G.C</t>
  </si>
  <si>
    <t>TOTAL DIV. COST (PER SF)</t>
  </si>
  <si>
    <t>Concrete</t>
  </si>
  <si>
    <t>Masonry</t>
  </si>
  <si>
    <t>Metals</t>
  </si>
  <si>
    <t>Thermal &amp; Moisture Protection</t>
  </si>
  <si>
    <t xml:space="preserve">Opening  </t>
  </si>
  <si>
    <t>Finishes</t>
  </si>
  <si>
    <t>Specialties</t>
  </si>
  <si>
    <t>Furnishing</t>
  </si>
  <si>
    <t xml:space="preserve">Plumbing </t>
  </si>
  <si>
    <t>Earthwork</t>
  </si>
  <si>
    <t>Site Improvements</t>
  </si>
  <si>
    <t>FURNISHING</t>
  </si>
  <si>
    <t>COUNTER TOP &amp; BACK SPLASH</t>
  </si>
  <si>
    <t>Permits</t>
  </si>
  <si>
    <t>Supervision and Coordination</t>
  </si>
  <si>
    <t>Submittals and Shop drawings</t>
  </si>
  <si>
    <t>Mobilization Costs</t>
  </si>
  <si>
    <t>Temporary Control &amp; Facilities</t>
  </si>
  <si>
    <t>Scaffolding</t>
  </si>
  <si>
    <t>General Requirements</t>
  </si>
  <si>
    <t>Existing Condition</t>
  </si>
  <si>
    <t>Hvac</t>
  </si>
  <si>
    <t>Wood, Plastics &amp; Composites</t>
  </si>
  <si>
    <t>TRIMS</t>
  </si>
  <si>
    <t>ROOF ACCESSORIES</t>
  </si>
  <si>
    <t>FLASHING &amp; TRIMS</t>
  </si>
  <si>
    <t>DIVISION NO</t>
  </si>
  <si>
    <t xml:space="preserve">No of Sheets (4'x8') </t>
  </si>
  <si>
    <t xml:space="preserve">Tapping </t>
  </si>
  <si>
    <t xml:space="preserve">Mudding </t>
  </si>
  <si>
    <t>Screws</t>
  </si>
  <si>
    <t>LBs</t>
  </si>
  <si>
    <t xml:space="preserve"> DOOR &amp; FRAME </t>
  </si>
  <si>
    <r>
      <rPr>
        <b/>
        <sz val="12"/>
        <color theme="1"/>
        <rFont val="Times New Roman"/>
        <family val="1"/>
      </rPr>
      <t xml:space="preserve">Door Tag 124: </t>
    </r>
    <r>
      <rPr>
        <sz val="12"/>
        <color theme="1"/>
        <rFont val="Times New Roman"/>
        <family val="1"/>
      </rPr>
      <t xml:space="preserve">Steel Door W/ 2 EA (2'-0" W &amp; 2'-6" H) Safety Glass Panels
</t>
    </r>
    <r>
      <rPr>
        <b/>
        <sz val="12"/>
        <color theme="1"/>
        <rFont val="Times New Roman"/>
        <family val="1"/>
      </rPr>
      <t>Door Size:</t>
    </r>
    <r>
      <rPr>
        <sz val="12"/>
        <color theme="1"/>
        <rFont val="Times New Roman"/>
        <family val="1"/>
      </rPr>
      <t xml:space="preserve">(3'-0"W x 7'-0"H x 1 3/8") 
</t>
    </r>
    <r>
      <rPr>
        <b/>
        <sz val="12"/>
        <color theme="1"/>
        <rFont val="Times New Roman"/>
        <family val="1"/>
      </rPr>
      <t xml:space="preserve">Door Material: </t>
    </r>
    <r>
      <rPr>
        <sz val="12"/>
        <color theme="1"/>
        <rFont val="Times New Roman"/>
        <family val="1"/>
      </rPr>
      <t xml:space="preserve">Steel
</t>
    </r>
    <r>
      <rPr>
        <b/>
        <sz val="12"/>
        <color theme="1"/>
        <rFont val="Times New Roman"/>
        <family val="1"/>
      </rPr>
      <t>Frame Material:</t>
    </r>
    <r>
      <rPr>
        <sz val="12"/>
        <color theme="1"/>
        <rFont val="Times New Roman"/>
        <family val="1"/>
      </rPr>
      <t xml:space="preserve"> Hollow metal</t>
    </r>
  </si>
  <si>
    <r>
      <rPr>
        <b/>
        <sz val="12"/>
        <color theme="1"/>
        <rFont val="Times New Roman"/>
        <family val="1"/>
      </rPr>
      <t xml:space="preserve">Door Tag 125: </t>
    </r>
    <r>
      <rPr>
        <sz val="12"/>
        <color theme="1"/>
        <rFont val="Times New Roman"/>
        <family val="1"/>
      </rPr>
      <t xml:space="preserve">Steel Door W/ (2'-0" W &amp; 2'-6" H) Safety Glass Panel
</t>
    </r>
    <r>
      <rPr>
        <b/>
        <sz val="12"/>
        <color theme="1"/>
        <rFont val="Times New Roman"/>
        <family val="1"/>
      </rPr>
      <t>Door Size:</t>
    </r>
    <r>
      <rPr>
        <sz val="12"/>
        <color theme="1"/>
        <rFont val="Times New Roman"/>
        <family val="1"/>
      </rPr>
      <t xml:space="preserve">(3'-0"W x 6'-8"H x 1 3/8") 
</t>
    </r>
    <r>
      <rPr>
        <b/>
        <sz val="12"/>
        <color theme="1"/>
        <rFont val="Times New Roman"/>
        <family val="1"/>
      </rPr>
      <t xml:space="preserve">Door Material: </t>
    </r>
    <r>
      <rPr>
        <sz val="12"/>
        <color theme="1"/>
        <rFont val="Times New Roman"/>
        <family val="1"/>
      </rPr>
      <t xml:space="preserve">Steel
</t>
    </r>
    <r>
      <rPr>
        <b/>
        <sz val="12"/>
        <color theme="1"/>
        <rFont val="Times New Roman"/>
        <family val="1"/>
      </rPr>
      <t>Frame Material:</t>
    </r>
    <r>
      <rPr>
        <sz val="12"/>
        <color theme="1"/>
        <rFont val="Times New Roman"/>
        <family val="1"/>
      </rPr>
      <t xml:space="preserve"> Hollow metal</t>
    </r>
  </si>
  <si>
    <r>
      <rPr>
        <b/>
        <sz val="12"/>
        <color theme="1"/>
        <rFont val="Times New Roman"/>
        <family val="1"/>
      </rPr>
      <t xml:space="preserve">Door Tag 129A,131A: </t>
    </r>
    <r>
      <rPr>
        <sz val="12"/>
        <color theme="1"/>
        <rFont val="Times New Roman"/>
        <family val="1"/>
      </rPr>
      <t xml:space="preserve">Double Leaf Steel Door W/ (2'-0" W &amp; 2'-6" H) Safety Glass Panel
</t>
    </r>
    <r>
      <rPr>
        <b/>
        <sz val="12"/>
        <color theme="1"/>
        <rFont val="Times New Roman"/>
        <family val="1"/>
      </rPr>
      <t>Door Size:</t>
    </r>
    <r>
      <rPr>
        <sz val="12"/>
        <color theme="1"/>
        <rFont val="Times New Roman"/>
        <family val="1"/>
      </rPr>
      <t xml:space="preserve">(2(3'-0")W x 7'-0"H x 1 3/4") 
</t>
    </r>
    <r>
      <rPr>
        <b/>
        <sz val="12"/>
        <color theme="1"/>
        <rFont val="Times New Roman"/>
        <family val="1"/>
      </rPr>
      <t xml:space="preserve">Door Material: </t>
    </r>
    <r>
      <rPr>
        <sz val="12"/>
        <color theme="1"/>
        <rFont val="Times New Roman"/>
        <family val="1"/>
      </rPr>
      <t xml:space="preserve">Steel
</t>
    </r>
    <r>
      <rPr>
        <b/>
        <sz val="12"/>
        <color theme="1"/>
        <rFont val="Times New Roman"/>
        <family val="1"/>
      </rPr>
      <t>Frame Material:</t>
    </r>
    <r>
      <rPr>
        <sz val="12"/>
        <color theme="1"/>
        <rFont val="Times New Roman"/>
        <family val="1"/>
      </rPr>
      <t xml:space="preserve"> Hollow metal</t>
    </r>
  </si>
  <si>
    <r>
      <rPr>
        <b/>
        <sz val="12"/>
        <color theme="1"/>
        <rFont val="Times New Roman"/>
        <family val="1"/>
      </rPr>
      <t xml:space="preserve">Door Tag 131A: </t>
    </r>
    <r>
      <rPr>
        <sz val="12"/>
        <color theme="1"/>
        <rFont val="Times New Roman"/>
        <family val="1"/>
      </rPr>
      <t xml:space="preserve">Double Leaf Steel Door W/ (2'-0" W &amp; 2'-6" H) Safety Glass Panel
</t>
    </r>
    <r>
      <rPr>
        <b/>
        <sz val="12"/>
        <color theme="1"/>
        <rFont val="Times New Roman"/>
        <family val="1"/>
      </rPr>
      <t>Door Size:</t>
    </r>
    <r>
      <rPr>
        <sz val="12"/>
        <color theme="1"/>
        <rFont val="Times New Roman"/>
        <family val="1"/>
      </rPr>
      <t xml:space="preserve">(2(3'-0")W x 7'-0"H x 1 3/8") 
</t>
    </r>
    <r>
      <rPr>
        <b/>
        <sz val="12"/>
        <color theme="1"/>
        <rFont val="Times New Roman"/>
        <family val="1"/>
      </rPr>
      <t xml:space="preserve">Door Material: </t>
    </r>
    <r>
      <rPr>
        <sz val="12"/>
        <color theme="1"/>
        <rFont val="Times New Roman"/>
        <family val="1"/>
      </rPr>
      <t xml:space="preserve">Steel
</t>
    </r>
    <r>
      <rPr>
        <b/>
        <sz val="12"/>
        <color theme="1"/>
        <rFont val="Times New Roman"/>
        <family val="1"/>
      </rPr>
      <t>Frame Material:</t>
    </r>
    <r>
      <rPr>
        <sz val="12"/>
        <color theme="1"/>
        <rFont val="Times New Roman"/>
        <family val="1"/>
      </rPr>
      <t xml:space="preserve"> Hollow metal</t>
    </r>
  </si>
  <si>
    <r>
      <rPr>
        <b/>
        <sz val="12"/>
        <color theme="1"/>
        <rFont val="Times New Roman"/>
        <family val="1"/>
      </rPr>
      <t xml:space="preserve">Door Tag 122,123,126,129B,131B,132B,133,136: </t>
    </r>
    <r>
      <rPr>
        <sz val="12"/>
        <color theme="1"/>
        <rFont val="Times New Roman"/>
        <family val="1"/>
      </rPr>
      <t xml:space="preserve">Steel Door W/ (2'-0" W &amp; 2'-6" H) Safety Glass Panel
</t>
    </r>
    <r>
      <rPr>
        <b/>
        <sz val="12"/>
        <color theme="1"/>
        <rFont val="Times New Roman"/>
        <family val="1"/>
      </rPr>
      <t>Door Size:</t>
    </r>
    <r>
      <rPr>
        <sz val="12"/>
        <color theme="1"/>
        <rFont val="Times New Roman"/>
        <family val="1"/>
      </rPr>
      <t xml:space="preserve">(3'-0"W x 7'-0"H x 1 3/8") 
</t>
    </r>
    <r>
      <rPr>
        <b/>
        <sz val="12"/>
        <color theme="1"/>
        <rFont val="Times New Roman"/>
        <family val="1"/>
      </rPr>
      <t xml:space="preserve">Door Material: </t>
    </r>
    <r>
      <rPr>
        <sz val="12"/>
        <color theme="1"/>
        <rFont val="Times New Roman"/>
        <family val="1"/>
      </rPr>
      <t xml:space="preserve">Steel
</t>
    </r>
    <r>
      <rPr>
        <b/>
        <sz val="12"/>
        <color theme="1"/>
        <rFont val="Times New Roman"/>
        <family val="1"/>
      </rPr>
      <t>Frame Material:</t>
    </r>
    <r>
      <rPr>
        <sz val="12"/>
        <color theme="1"/>
        <rFont val="Times New Roman"/>
        <family val="1"/>
      </rPr>
      <t xml:space="preserve"> Hollow metal</t>
    </r>
  </si>
  <si>
    <r>
      <rPr>
        <b/>
        <sz val="12"/>
        <color theme="1"/>
        <rFont val="Times New Roman"/>
        <family val="1"/>
      </rPr>
      <t>Door Tag 137:</t>
    </r>
    <r>
      <rPr>
        <sz val="12"/>
        <color theme="1"/>
        <rFont val="Times New Roman"/>
        <family val="1"/>
      </rPr>
      <t xml:space="preserve"> Flush Steel Door
</t>
    </r>
    <r>
      <rPr>
        <b/>
        <sz val="12"/>
        <color theme="1"/>
        <rFont val="Times New Roman"/>
        <family val="1"/>
      </rPr>
      <t>Door Size:</t>
    </r>
    <r>
      <rPr>
        <sz val="12"/>
        <color theme="1"/>
        <rFont val="Times New Roman"/>
        <family val="1"/>
      </rPr>
      <t xml:space="preserve">(3'-0"W x 6'-8"H x 1 3/8") 
</t>
    </r>
    <r>
      <rPr>
        <b/>
        <sz val="12"/>
        <color theme="1"/>
        <rFont val="Times New Roman"/>
        <family val="1"/>
      </rPr>
      <t xml:space="preserve">Door Material: </t>
    </r>
    <r>
      <rPr>
        <sz val="12"/>
        <color theme="1"/>
        <rFont val="Times New Roman"/>
        <family val="1"/>
      </rPr>
      <t xml:space="preserve">Steel
</t>
    </r>
    <r>
      <rPr>
        <b/>
        <sz val="12"/>
        <color theme="1"/>
        <rFont val="Times New Roman"/>
        <family val="1"/>
      </rPr>
      <t>Frame Material:</t>
    </r>
    <r>
      <rPr>
        <sz val="12"/>
        <color theme="1"/>
        <rFont val="Times New Roman"/>
        <family val="1"/>
      </rPr>
      <t xml:space="preserve"> Hollow metal</t>
    </r>
  </si>
  <si>
    <r>
      <rPr>
        <b/>
        <sz val="12"/>
        <color theme="1"/>
        <rFont val="Times New Roman"/>
        <family val="1"/>
      </rPr>
      <t xml:space="preserve">Door Tag 121B,138: </t>
    </r>
    <r>
      <rPr>
        <sz val="12"/>
        <color theme="1"/>
        <rFont val="Times New Roman"/>
        <family val="1"/>
      </rPr>
      <t xml:space="preserve">Steel Door W/ (2'-0" W &amp; 2'-6" H) Safety Glass Panel
</t>
    </r>
    <r>
      <rPr>
        <b/>
        <sz val="12"/>
        <color theme="1"/>
        <rFont val="Times New Roman"/>
        <family val="1"/>
      </rPr>
      <t>Door Size:</t>
    </r>
    <r>
      <rPr>
        <sz val="12"/>
        <color theme="1"/>
        <rFont val="Times New Roman"/>
        <family val="1"/>
      </rPr>
      <t xml:space="preserve">(3'-0"W x 7'-0"H x 1 3/4") 
</t>
    </r>
    <r>
      <rPr>
        <b/>
        <sz val="12"/>
        <color theme="1"/>
        <rFont val="Times New Roman"/>
        <family val="1"/>
      </rPr>
      <t xml:space="preserve">Door Material: </t>
    </r>
    <r>
      <rPr>
        <sz val="12"/>
        <color theme="1"/>
        <rFont val="Times New Roman"/>
        <family val="1"/>
      </rPr>
      <t xml:space="preserve">Steel
</t>
    </r>
    <r>
      <rPr>
        <b/>
        <sz val="12"/>
        <color theme="1"/>
        <rFont val="Times New Roman"/>
        <family val="1"/>
      </rPr>
      <t>Frame Material:</t>
    </r>
    <r>
      <rPr>
        <sz val="12"/>
        <color theme="1"/>
        <rFont val="Times New Roman"/>
        <family val="1"/>
      </rPr>
      <t xml:space="preserve"> Hollow metal</t>
    </r>
  </si>
  <si>
    <t>Door schedule</t>
  </si>
  <si>
    <t>A600</t>
  </si>
  <si>
    <t>DOOR HARDWARES</t>
  </si>
  <si>
    <r>
      <rPr>
        <b/>
        <sz val="12"/>
        <color theme="1"/>
        <rFont val="Times New Roman"/>
        <family val="1"/>
      </rPr>
      <t>Hardware Set 2:</t>
    </r>
    <r>
      <rPr>
        <sz val="12"/>
        <color theme="1"/>
        <rFont val="Times New Roman"/>
        <family val="1"/>
      </rPr>
      <t xml:space="preserve"> At Rooms With Card Readers As-
-3 Hinges
-Lockset-Cylinder W/ Keyed Lever, Inside Lever Always Free
-Electric Strike
-Closer
-Silencers
-Mop Plate</t>
    </r>
  </si>
  <si>
    <t>Page 136,137/Project Manual</t>
  </si>
  <si>
    <r>
      <rPr>
        <b/>
        <sz val="12"/>
        <color theme="1"/>
        <rFont val="Times New Roman"/>
        <family val="1"/>
      </rPr>
      <t>Tag T1:</t>
    </r>
    <r>
      <rPr>
        <sz val="12"/>
        <color theme="1"/>
        <rFont val="Times New Roman"/>
        <family val="1"/>
      </rPr>
      <t xml:space="preserve"> 6' Long ADA Complaint Aluminum Threshold W/ Weather Stripping</t>
    </r>
  </si>
  <si>
    <r>
      <rPr>
        <b/>
        <sz val="12"/>
        <color theme="1"/>
        <rFont val="Times New Roman"/>
        <family val="1"/>
      </rPr>
      <t>Tag T1:</t>
    </r>
    <r>
      <rPr>
        <sz val="12"/>
        <color theme="1"/>
        <rFont val="Times New Roman"/>
        <family val="1"/>
      </rPr>
      <t xml:space="preserve"> 3' Long ADA Complaint Aluminum Threshold W/ Weather Stripping</t>
    </r>
  </si>
  <si>
    <r>
      <rPr>
        <b/>
        <sz val="12"/>
        <color theme="1"/>
        <rFont val="Times New Roman"/>
        <family val="1"/>
      </rPr>
      <t>Hardware Set 1:</t>
    </r>
    <r>
      <rPr>
        <sz val="12"/>
        <color theme="1"/>
        <rFont val="Times New Roman"/>
        <family val="1"/>
      </rPr>
      <t xml:space="preserve"> At Exterior Double Entrance As-
-6 Hinges
-2 Exit Device
-Electric Strike
-Removable Mullion
-Cylinders as Required
-2 Closer
-Weather Stripping
-Meeting Stile Gasket
-Sweep
-Kickplates</t>
    </r>
  </si>
  <si>
    <r>
      <rPr>
        <b/>
        <sz val="12"/>
        <color theme="1"/>
        <rFont val="Times New Roman"/>
        <family val="1"/>
      </rPr>
      <t>Hardware Set 3:</t>
    </r>
    <r>
      <rPr>
        <sz val="12"/>
        <color theme="1"/>
        <rFont val="Times New Roman"/>
        <family val="1"/>
      </rPr>
      <t xml:space="preserve"> At Exterior Single-Exit As-
-3 Hinges
-Exit Device
-Electric Strike
-Lockset-Keyed Exterior
-Cylinders as Required
-Closer
-Weather Stripping
-Sweep
-Kickplates</t>
    </r>
  </si>
  <si>
    <t>DOOR ACCESSORIES</t>
  </si>
  <si>
    <r>
      <rPr>
        <b/>
        <sz val="12"/>
        <color theme="1"/>
        <rFont val="Times New Roman"/>
        <family val="1"/>
      </rPr>
      <t>Tag CR1:</t>
    </r>
    <r>
      <rPr>
        <sz val="12"/>
        <color theme="1"/>
        <rFont val="Times New Roman"/>
        <family val="1"/>
      </rPr>
      <t xml:space="preserve"> Exterior Grade Card Reader Electric Strike On Door Frame</t>
    </r>
  </si>
  <si>
    <r>
      <rPr>
        <b/>
        <sz val="12"/>
        <color theme="1"/>
        <rFont val="Times New Roman"/>
        <family val="1"/>
      </rPr>
      <t>Tag CR2:</t>
    </r>
    <r>
      <rPr>
        <sz val="12"/>
        <color theme="1"/>
        <rFont val="Times New Roman"/>
        <family val="1"/>
      </rPr>
      <t xml:space="preserve"> Interior Grade Card Reader W/ Electric Strike On Door Frame</t>
    </r>
  </si>
  <si>
    <r>
      <rPr>
        <b/>
        <sz val="12"/>
        <color theme="1"/>
        <rFont val="Times New Roman"/>
        <family val="1"/>
      </rPr>
      <t>Tag KD:</t>
    </r>
    <r>
      <rPr>
        <sz val="12"/>
        <color theme="1"/>
        <rFont val="Times New Roman"/>
        <family val="1"/>
      </rPr>
      <t xml:space="preserve"> Surface Mounted Kick Down Door Stop</t>
    </r>
  </si>
  <si>
    <t>Note: According to Project Manual, Card Reader Is Not In Contract. Please Verify.</t>
  </si>
  <si>
    <t>4" Hemmed Edge Prefinished Aluminum @ Exterior Doors</t>
  </si>
  <si>
    <t>Detail 4/ A600</t>
  </si>
  <si>
    <t>Door Accessories Notes</t>
  </si>
  <si>
    <t>WINDOW SHADES</t>
  </si>
  <si>
    <t>P101</t>
  </si>
  <si>
    <t>RFI: TB 007</t>
  </si>
  <si>
    <t>A602</t>
  </si>
  <si>
    <t>LINTELS</t>
  </si>
  <si>
    <t>1/A500</t>
  </si>
  <si>
    <t>A101</t>
  </si>
  <si>
    <t>SILL BOARD</t>
  </si>
  <si>
    <t>4/A602</t>
  </si>
  <si>
    <t>4" Hemmed Edge Prefinished Aluminum @ Exterior Windows</t>
  </si>
  <si>
    <r>
      <t xml:space="preserve">Kawneer Premanufactured One Piece Subsill
</t>
    </r>
    <r>
      <rPr>
        <sz val="12"/>
        <color rgb="FFFF0000"/>
        <rFont val="Times New Roman"/>
        <family val="1"/>
      </rPr>
      <t>Note: Cut Opening @ Top Of Existing Brick Course.</t>
    </r>
  </si>
  <si>
    <t xml:space="preserve">A602 </t>
  </si>
  <si>
    <t>Window Schedule</t>
  </si>
  <si>
    <t>DOOR PAINT</t>
  </si>
  <si>
    <t>Note: Paint Finish: Primer &amp; 2 Coats Behr Ultra Gloss Or Approved Equal.</t>
  </si>
  <si>
    <t xml:space="preserve">Semi-Glass Paint @ All New Doors </t>
  </si>
  <si>
    <t xml:space="preserve">Semi-Gloss Paint @ All Existing Doors </t>
  </si>
  <si>
    <t xml:space="preserve">White Paint @ New Door </t>
  </si>
  <si>
    <t>Door Schedule</t>
  </si>
  <si>
    <r>
      <t xml:space="preserve">Paint @ All Door Frames
</t>
    </r>
    <r>
      <rPr>
        <sz val="12"/>
        <color rgb="FFFF0000"/>
        <rFont val="Times New Roman"/>
        <family val="1"/>
      </rPr>
      <t>Note: Paint Finish: Primer &amp; 2 Coats Behr Ultra Gloss Or Approved Equal. Interior= White &amp; Exterior= Black.</t>
    </r>
  </si>
  <si>
    <t>STOREFRONT</t>
  </si>
  <si>
    <t>Remove Spray Coating On Concrete Roof Panels To Be Left Exposed To view.</t>
  </si>
  <si>
    <t>Prefinished 0.125 Aluminum Break Metal Filler.</t>
  </si>
  <si>
    <t>A121</t>
  </si>
  <si>
    <t>Plan Notes</t>
  </si>
  <si>
    <r>
      <rPr>
        <b/>
        <sz val="12"/>
        <color theme="1"/>
        <rFont val="Times New Roman"/>
        <family val="1"/>
      </rPr>
      <t>Tag 2:</t>
    </r>
    <r>
      <rPr>
        <sz val="12"/>
        <color theme="1"/>
        <rFont val="Times New Roman"/>
        <family val="1"/>
      </rPr>
      <t xml:space="preserve"> Remove Existing Stud Wall (11' H Assumed)</t>
    </r>
  </si>
  <si>
    <r>
      <rPr>
        <b/>
        <sz val="12"/>
        <color theme="1"/>
        <rFont val="Times New Roman"/>
        <family val="1"/>
      </rPr>
      <t>Tag 8:</t>
    </r>
    <r>
      <rPr>
        <sz val="12"/>
        <color theme="1"/>
        <rFont val="Times New Roman"/>
        <family val="1"/>
      </rPr>
      <t xml:space="preserve"> Remove Interior Masonry Wall (9'-6" H Assumed) </t>
    </r>
  </si>
  <si>
    <r>
      <rPr>
        <b/>
        <sz val="12"/>
        <color theme="1"/>
        <rFont val="Times New Roman"/>
        <family val="1"/>
      </rPr>
      <t xml:space="preserve">Tag 19: </t>
    </r>
    <r>
      <rPr>
        <sz val="12"/>
        <color theme="1"/>
        <rFont val="Times New Roman"/>
        <family val="1"/>
      </rPr>
      <t>Saw Cut Window Opening In Masonry Wall( 56" W x 48" H, 11 EA)</t>
    </r>
  </si>
  <si>
    <r>
      <rPr>
        <b/>
        <sz val="12"/>
        <color theme="1"/>
        <rFont val="Times New Roman"/>
        <family val="1"/>
      </rPr>
      <t>Tag 17:</t>
    </r>
    <r>
      <rPr>
        <sz val="12"/>
        <color theme="1"/>
        <rFont val="Times New Roman"/>
        <family val="1"/>
      </rPr>
      <t xml:space="preserve"> Remove Dog Hatch (3' H x16" Assumed)</t>
    </r>
  </si>
  <si>
    <r>
      <rPr>
        <b/>
        <sz val="12"/>
        <color theme="1"/>
        <rFont val="Times New Roman"/>
        <family val="1"/>
      </rPr>
      <t xml:space="preserve">Tag 22: </t>
    </r>
    <r>
      <rPr>
        <sz val="12"/>
        <color theme="1"/>
        <rFont val="Times New Roman"/>
        <family val="1"/>
      </rPr>
      <t>Remove Chain Link &amp; Pipe Kennels</t>
    </r>
  </si>
  <si>
    <r>
      <rPr>
        <b/>
        <sz val="12"/>
        <color theme="1"/>
        <rFont val="Times New Roman"/>
        <family val="1"/>
      </rPr>
      <t>Tag 13:</t>
    </r>
    <r>
      <rPr>
        <sz val="12"/>
        <color theme="1"/>
        <rFont val="Times New Roman"/>
        <family val="1"/>
      </rPr>
      <t xml:space="preserve"> Remove Concrete Slab &amp; Replace W/ Asphaltic Paving </t>
    </r>
  </si>
  <si>
    <r>
      <rPr>
        <b/>
        <sz val="12"/>
        <color theme="1"/>
        <rFont val="Times New Roman"/>
        <family val="1"/>
      </rPr>
      <t>Tag 14:</t>
    </r>
    <r>
      <rPr>
        <sz val="12"/>
        <color theme="1"/>
        <rFont val="Times New Roman"/>
        <family val="1"/>
      </rPr>
      <t xml:space="preserve"> Remove Existing Chain Link Fence (7' H Assumed)</t>
    </r>
  </si>
  <si>
    <r>
      <rPr>
        <b/>
        <sz val="12"/>
        <color theme="1"/>
        <rFont val="Times New Roman"/>
        <family val="1"/>
      </rPr>
      <t>Tag 5:</t>
    </r>
    <r>
      <rPr>
        <sz val="12"/>
        <color theme="1"/>
        <rFont val="Times New Roman"/>
        <family val="1"/>
      </rPr>
      <t xml:space="preserve"> Remove Existing Roof Membrane(1" Thick, 2 Layers Of Rolled Asphalt Roofing)  &amp; 2" Thick Insulation </t>
    </r>
  </si>
  <si>
    <r>
      <rPr>
        <b/>
        <sz val="12"/>
        <color theme="1"/>
        <rFont val="Times New Roman"/>
        <family val="1"/>
      </rPr>
      <t xml:space="preserve">Tag 7: </t>
    </r>
    <r>
      <rPr>
        <sz val="12"/>
        <color theme="1"/>
        <rFont val="Times New Roman"/>
        <family val="1"/>
      </rPr>
      <t xml:space="preserve">Remove Existing Solar Panels, Dunnage &amp; Supports Above Roof </t>
    </r>
  </si>
  <si>
    <r>
      <rPr>
        <b/>
        <sz val="12"/>
        <color theme="1"/>
        <rFont val="Times New Roman"/>
        <family val="1"/>
      </rPr>
      <t>Tag 10:</t>
    </r>
    <r>
      <rPr>
        <sz val="12"/>
        <color theme="1"/>
        <rFont val="Times New Roman"/>
        <family val="1"/>
      </rPr>
      <t xml:space="preserve"> Provide Opening In Existing Masonry Wall.</t>
    </r>
  </si>
  <si>
    <t>Roof Demo Plan</t>
  </si>
  <si>
    <t>D101</t>
  </si>
  <si>
    <t>Demo Plan</t>
  </si>
  <si>
    <r>
      <rPr>
        <b/>
        <sz val="12"/>
        <color theme="1"/>
        <rFont val="Times New Roman"/>
        <family val="1"/>
      </rPr>
      <t>Tag 16:</t>
    </r>
    <r>
      <rPr>
        <sz val="12"/>
        <color theme="1"/>
        <rFont val="Times New Roman"/>
        <family val="1"/>
      </rPr>
      <t xml:space="preserve"> Remove Existing Pipe Bollard (5' H Assumed)</t>
    </r>
  </si>
  <si>
    <r>
      <rPr>
        <b/>
        <sz val="12"/>
        <color theme="1"/>
        <rFont val="Times New Roman"/>
        <family val="1"/>
      </rPr>
      <t>Window Tag 110,111:</t>
    </r>
    <r>
      <rPr>
        <sz val="12"/>
        <color theme="1"/>
        <rFont val="Times New Roman"/>
        <family val="1"/>
      </rPr>
      <t xml:space="preserve"> 
</t>
    </r>
    <r>
      <rPr>
        <b/>
        <sz val="12"/>
        <color theme="1"/>
        <rFont val="Times New Roman"/>
        <family val="1"/>
      </rPr>
      <t xml:space="preserve">Window Size: </t>
    </r>
    <r>
      <rPr>
        <sz val="12"/>
        <color theme="1"/>
        <rFont val="Times New Roman"/>
        <family val="1"/>
      </rPr>
      <t xml:space="preserve">(56" W x 48" H) 
</t>
    </r>
    <r>
      <rPr>
        <b/>
        <sz val="12"/>
        <color theme="1"/>
        <rFont val="Times New Roman"/>
        <family val="1"/>
      </rPr>
      <t>Frame Material:</t>
    </r>
    <r>
      <rPr>
        <sz val="12"/>
        <color theme="1"/>
        <rFont val="Times New Roman"/>
        <family val="1"/>
      </rPr>
      <t xml:space="preserve"> Aluminum 
</t>
    </r>
    <r>
      <rPr>
        <b/>
        <sz val="12"/>
        <color theme="1"/>
        <rFont val="Times New Roman"/>
        <family val="1"/>
      </rPr>
      <t>Style:</t>
    </r>
    <r>
      <rPr>
        <sz val="12"/>
        <color theme="1"/>
        <rFont val="Times New Roman"/>
        <family val="1"/>
      </rPr>
      <t xml:space="preserve"> Kawneer 8225TL Fixed Above Project-In Hopper
</t>
    </r>
    <r>
      <rPr>
        <b/>
        <sz val="12"/>
        <color theme="1"/>
        <rFont val="Times New Roman"/>
        <family val="1"/>
      </rPr>
      <t>Glazing Type</t>
    </r>
    <r>
      <rPr>
        <sz val="12"/>
        <color theme="1"/>
        <rFont val="Times New Roman"/>
        <family val="1"/>
      </rPr>
      <t>: G1: Insulated Double Pane Glazing W/ Low-E Coating.</t>
    </r>
  </si>
  <si>
    <r>
      <rPr>
        <b/>
        <sz val="12"/>
        <color theme="1"/>
        <rFont val="Times New Roman"/>
        <family val="1"/>
      </rPr>
      <t>Window Tag 112-115:</t>
    </r>
    <r>
      <rPr>
        <sz val="12"/>
        <color theme="1"/>
        <rFont val="Times New Roman"/>
        <family val="1"/>
      </rPr>
      <t xml:space="preserve"> 
</t>
    </r>
    <r>
      <rPr>
        <b/>
        <sz val="12"/>
        <color theme="1"/>
        <rFont val="Times New Roman"/>
        <family val="1"/>
      </rPr>
      <t xml:space="preserve">Window Size: </t>
    </r>
    <r>
      <rPr>
        <sz val="12"/>
        <color theme="1"/>
        <rFont val="Times New Roman"/>
        <family val="1"/>
      </rPr>
      <t xml:space="preserve">(56" W x 48" H) 
</t>
    </r>
    <r>
      <rPr>
        <b/>
        <sz val="12"/>
        <color theme="1"/>
        <rFont val="Times New Roman"/>
        <family val="1"/>
      </rPr>
      <t>Frame Material:</t>
    </r>
    <r>
      <rPr>
        <sz val="12"/>
        <color theme="1"/>
        <rFont val="Times New Roman"/>
        <family val="1"/>
      </rPr>
      <t xml:space="preserve"> Aluminum 
</t>
    </r>
    <r>
      <rPr>
        <b/>
        <sz val="12"/>
        <color theme="1"/>
        <rFont val="Times New Roman"/>
        <family val="1"/>
      </rPr>
      <t>Style:</t>
    </r>
    <r>
      <rPr>
        <sz val="12"/>
        <color theme="1"/>
        <rFont val="Times New Roman"/>
        <family val="1"/>
      </rPr>
      <t xml:space="preserve"> Kawneer 8225TL Fixed Above Project-In Hopper
</t>
    </r>
    <r>
      <rPr>
        <b/>
        <sz val="12"/>
        <color theme="1"/>
        <rFont val="Times New Roman"/>
        <family val="1"/>
      </rPr>
      <t>Glazing Type</t>
    </r>
    <r>
      <rPr>
        <sz val="12"/>
        <color theme="1"/>
        <rFont val="Times New Roman"/>
        <family val="1"/>
      </rPr>
      <t>: G1: Insulated Double Pane Glazing W/ Low-E Coating.</t>
    </r>
  </si>
  <si>
    <r>
      <rPr>
        <b/>
        <sz val="12"/>
        <color theme="1"/>
        <rFont val="Times New Roman"/>
        <family val="1"/>
      </rPr>
      <t>Window Tag 116:</t>
    </r>
    <r>
      <rPr>
        <sz val="12"/>
        <color theme="1"/>
        <rFont val="Times New Roman"/>
        <family val="1"/>
      </rPr>
      <t xml:space="preserve"> 
</t>
    </r>
    <r>
      <rPr>
        <b/>
        <sz val="12"/>
        <color theme="1"/>
        <rFont val="Times New Roman"/>
        <family val="1"/>
      </rPr>
      <t xml:space="preserve">Window Size: </t>
    </r>
    <r>
      <rPr>
        <sz val="12"/>
        <color theme="1"/>
        <rFont val="Times New Roman"/>
        <family val="1"/>
      </rPr>
      <t xml:space="preserve">(80" W x 99" H) 
</t>
    </r>
    <r>
      <rPr>
        <b/>
        <sz val="12"/>
        <color theme="1"/>
        <rFont val="Times New Roman"/>
        <family val="1"/>
      </rPr>
      <t>Frame Material:</t>
    </r>
    <r>
      <rPr>
        <sz val="12"/>
        <color theme="1"/>
        <rFont val="Times New Roman"/>
        <family val="1"/>
      </rPr>
      <t xml:space="preserve"> Aluminum 
</t>
    </r>
    <r>
      <rPr>
        <b/>
        <sz val="12"/>
        <color theme="1"/>
        <rFont val="Times New Roman"/>
        <family val="1"/>
      </rPr>
      <t>Style:</t>
    </r>
    <r>
      <rPr>
        <sz val="12"/>
        <color theme="1"/>
        <rFont val="Times New Roman"/>
        <family val="1"/>
      </rPr>
      <t xml:space="preserve"> A: Kawneer 8225TL Fixed Above Project-In Hopper
</t>
    </r>
    <r>
      <rPr>
        <b/>
        <sz val="12"/>
        <color theme="1"/>
        <rFont val="Times New Roman"/>
        <family val="1"/>
      </rPr>
      <t>Glazing Type</t>
    </r>
    <r>
      <rPr>
        <sz val="12"/>
        <color theme="1"/>
        <rFont val="Times New Roman"/>
        <family val="1"/>
      </rPr>
      <t>: G1: Insulated Double Pane Glazing W/ Low-E Coating.</t>
    </r>
  </si>
  <si>
    <r>
      <rPr>
        <b/>
        <sz val="12"/>
        <color theme="1"/>
        <rFont val="Times New Roman"/>
        <family val="1"/>
      </rPr>
      <t>Window Tag 117-121:</t>
    </r>
    <r>
      <rPr>
        <sz val="12"/>
        <color theme="1"/>
        <rFont val="Times New Roman"/>
        <family val="1"/>
      </rPr>
      <t xml:space="preserve"> 
</t>
    </r>
    <r>
      <rPr>
        <b/>
        <sz val="12"/>
        <color theme="1"/>
        <rFont val="Times New Roman"/>
        <family val="1"/>
      </rPr>
      <t xml:space="preserve">Window Size: </t>
    </r>
    <r>
      <rPr>
        <sz val="12"/>
        <color theme="1"/>
        <rFont val="Times New Roman"/>
        <family val="1"/>
      </rPr>
      <t xml:space="preserve">(56" W x 110" H) 
</t>
    </r>
    <r>
      <rPr>
        <b/>
        <sz val="12"/>
        <color theme="1"/>
        <rFont val="Times New Roman"/>
        <family val="1"/>
      </rPr>
      <t>Frame Material:</t>
    </r>
    <r>
      <rPr>
        <sz val="12"/>
        <color theme="1"/>
        <rFont val="Times New Roman"/>
        <family val="1"/>
      </rPr>
      <t xml:space="preserve"> Aluminum 
</t>
    </r>
    <r>
      <rPr>
        <b/>
        <sz val="12"/>
        <color theme="1"/>
        <rFont val="Times New Roman"/>
        <family val="1"/>
      </rPr>
      <t>Style:</t>
    </r>
    <r>
      <rPr>
        <sz val="12"/>
        <color theme="1"/>
        <rFont val="Times New Roman"/>
        <family val="1"/>
      </rPr>
      <t xml:space="preserve"> A: Kawneer 8225TL Fixed Above Project-In Hopper
</t>
    </r>
    <r>
      <rPr>
        <b/>
        <sz val="12"/>
        <color theme="1"/>
        <rFont val="Times New Roman"/>
        <family val="1"/>
      </rPr>
      <t>Glazing Type</t>
    </r>
    <r>
      <rPr>
        <sz val="12"/>
        <color theme="1"/>
        <rFont val="Times New Roman"/>
        <family val="1"/>
      </rPr>
      <t>: G1: Insulated Double Pane Glazing W/ Low-E Coating.</t>
    </r>
  </si>
  <si>
    <r>
      <rPr>
        <b/>
        <sz val="12"/>
        <color theme="1"/>
        <rFont val="Times New Roman"/>
        <family val="1"/>
      </rPr>
      <t>Window Tag 134,136,137:</t>
    </r>
    <r>
      <rPr>
        <sz val="12"/>
        <color theme="1"/>
        <rFont val="Times New Roman"/>
        <family val="1"/>
      </rPr>
      <t xml:space="preserve"> 
</t>
    </r>
    <r>
      <rPr>
        <b/>
        <sz val="12"/>
        <color theme="1"/>
        <rFont val="Times New Roman"/>
        <family val="1"/>
      </rPr>
      <t xml:space="preserve">Window Size: </t>
    </r>
    <r>
      <rPr>
        <sz val="12"/>
        <color theme="1"/>
        <rFont val="Times New Roman"/>
        <family val="1"/>
      </rPr>
      <t xml:space="preserve">(72" W x 42" H) 
</t>
    </r>
    <r>
      <rPr>
        <b/>
        <sz val="12"/>
        <color theme="1"/>
        <rFont val="Times New Roman"/>
        <family val="1"/>
      </rPr>
      <t>Frame Material:</t>
    </r>
    <r>
      <rPr>
        <sz val="12"/>
        <color theme="1"/>
        <rFont val="Times New Roman"/>
        <family val="1"/>
      </rPr>
      <t xml:space="preserve"> Aluminum 
</t>
    </r>
    <r>
      <rPr>
        <b/>
        <sz val="12"/>
        <color theme="1"/>
        <rFont val="Times New Roman"/>
        <family val="1"/>
      </rPr>
      <t>Style:</t>
    </r>
    <r>
      <rPr>
        <sz val="12"/>
        <color theme="1"/>
        <rFont val="Times New Roman"/>
        <family val="1"/>
      </rPr>
      <t xml:space="preserve"> E: Kawneer 8225TL Fixed
</t>
    </r>
    <r>
      <rPr>
        <b/>
        <sz val="12"/>
        <color theme="1"/>
        <rFont val="Times New Roman"/>
        <family val="1"/>
      </rPr>
      <t>Glazing Type</t>
    </r>
    <r>
      <rPr>
        <sz val="12"/>
        <color theme="1"/>
        <rFont val="Times New Roman"/>
        <family val="1"/>
      </rPr>
      <t>: G2: Single Pane 1/2" Safety Coating</t>
    </r>
  </si>
  <si>
    <r>
      <rPr>
        <b/>
        <sz val="12"/>
        <color theme="1"/>
        <rFont val="Times New Roman"/>
        <family val="1"/>
      </rPr>
      <t>Window Tag 135:</t>
    </r>
    <r>
      <rPr>
        <sz val="12"/>
        <color theme="1"/>
        <rFont val="Times New Roman"/>
        <family val="1"/>
      </rPr>
      <t xml:space="preserve"> 
</t>
    </r>
    <r>
      <rPr>
        <b/>
        <sz val="12"/>
        <color theme="1"/>
        <rFont val="Times New Roman"/>
        <family val="1"/>
      </rPr>
      <t xml:space="preserve">Window Size: </t>
    </r>
    <r>
      <rPr>
        <sz val="12"/>
        <color theme="1"/>
        <rFont val="Times New Roman"/>
        <family val="1"/>
      </rPr>
      <t xml:space="preserve">(96" W x 42" H) 
</t>
    </r>
    <r>
      <rPr>
        <b/>
        <sz val="12"/>
        <color theme="1"/>
        <rFont val="Times New Roman"/>
        <family val="1"/>
      </rPr>
      <t>Frame Material:</t>
    </r>
    <r>
      <rPr>
        <sz val="12"/>
        <color theme="1"/>
        <rFont val="Times New Roman"/>
        <family val="1"/>
      </rPr>
      <t xml:space="preserve"> Aluminum 
</t>
    </r>
    <r>
      <rPr>
        <b/>
        <sz val="12"/>
        <color theme="1"/>
        <rFont val="Times New Roman"/>
        <family val="1"/>
      </rPr>
      <t>Style:</t>
    </r>
    <r>
      <rPr>
        <sz val="12"/>
        <color theme="1"/>
        <rFont val="Times New Roman"/>
        <family val="1"/>
      </rPr>
      <t xml:space="preserve"> E: Kawneer 8225TL Fixed
</t>
    </r>
    <r>
      <rPr>
        <b/>
        <sz val="12"/>
        <color theme="1"/>
        <rFont val="Times New Roman"/>
        <family val="1"/>
      </rPr>
      <t>Glazing Type</t>
    </r>
    <r>
      <rPr>
        <sz val="12"/>
        <color theme="1"/>
        <rFont val="Times New Roman"/>
        <family val="1"/>
      </rPr>
      <t xml:space="preserve">: G2: Single Pane 1/2" Safety Coating
</t>
    </r>
    <r>
      <rPr>
        <sz val="12"/>
        <color rgb="FFFF0000"/>
        <rFont val="Times New Roman"/>
        <family val="1"/>
      </rPr>
      <t>Note: 2 Fixed Panes.</t>
    </r>
  </si>
  <si>
    <r>
      <rPr>
        <b/>
        <sz val="12"/>
        <color theme="1"/>
        <rFont val="Times New Roman"/>
        <family val="1"/>
      </rPr>
      <t>Window Tag 138:</t>
    </r>
    <r>
      <rPr>
        <sz val="12"/>
        <color theme="1"/>
        <rFont val="Times New Roman"/>
        <family val="1"/>
      </rPr>
      <t xml:space="preserve"> 
</t>
    </r>
    <r>
      <rPr>
        <b/>
        <sz val="12"/>
        <color theme="1"/>
        <rFont val="Times New Roman"/>
        <family val="1"/>
      </rPr>
      <t xml:space="preserve">Window Size: </t>
    </r>
    <r>
      <rPr>
        <sz val="12"/>
        <color theme="1"/>
        <rFont val="Times New Roman"/>
        <family val="1"/>
      </rPr>
      <t xml:space="preserve">(44" W x 42" H) 
</t>
    </r>
    <r>
      <rPr>
        <b/>
        <sz val="12"/>
        <color theme="1"/>
        <rFont val="Times New Roman"/>
        <family val="1"/>
      </rPr>
      <t>Frame Material:</t>
    </r>
    <r>
      <rPr>
        <sz val="12"/>
        <color theme="1"/>
        <rFont val="Times New Roman"/>
        <family val="1"/>
      </rPr>
      <t xml:space="preserve"> Aluminum 
</t>
    </r>
    <r>
      <rPr>
        <b/>
        <sz val="12"/>
        <color theme="1"/>
        <rFont val="Times New Roman"/>
        <family val="1"/>
      </rPr>
      <t>Style:</t>
    </r>
    <r>
      <rPr>
        <sz val="12"/>
        <color theme="1"/>
        <rFont val="Times New Roman"/>
        <family val="1"/>
      </rPr>
      <t xml:space="preserve"> E: Kawneer 8225TL Fixed
</t>
    </r>
    <r>
      <rPr>
        <b/>
        <sz val="12"/>
        <color theme="1"/>
        <rFont val="Times New Roman"/>
        <family val="1"/>
      </rPr>
      <t>Glazing Type</t>
    </r>
    <r>
      <rPr>
        <sz val="12"/>
        <color theme="1"/>
        <rFont val="Times New Roman"/>
        <family val="1"/>
      </rPr>
      <t>: G2: Single Pane 1/2" Safety Coating</t>
    </r>
  </si>
  <si>
    <r>
      <rPr>
        <b/>
        <sz val="12"/>
        <color theme="1"/>
        <rFont val="Times New Roman"/>
        <family val="1"/>
      </rPr>
      <t>Window Tag 139:</t>
    </r>
    <r>
      <rPr>
        <sz val="12"/>
        <color theme="1"/>
        <rFont val="Times New Roman"/>
        <family val="1"/>
      </rPr>
      <t xml:space="preserve"> 
</t>
    </r>
    <r>
      <rPr>
        <b/>
        <sz val="12"/>
        <color theme="1"/>
        <rFont val="Times New Roman"/>
        <family val="1"/>
      </rPr>
      <t xml:space="preserve">Window Size: </t>
    </r>
    <r>
      <rPr>
        <sz val="12"/>
        <color theme="1"/>
        <rFont val="Times New Roman"/>
        <family val="1"/>
      </rPr>
      <t xml:space="preserve">(42" W x 42" H) 
</t>
    </r>
    <r>
      <rPr>
        <b/>
        <sz val="12"/>
        <color theme="1"/>
        <rFont val="Times New Roman"/>
        <family val="1"/>
      </rPr>
      <t>Frame Material:</t>
    </r>
    <r>
      <rPr>
        <sz val="12"/>
        <color theme="1"/>
        <rFont val="Times New Roman"/>
        <family val="1"/>
      </rPr>
      <t xml:space="preserve"> Aluminum 
</t>
    </r>
    <r>
      <rPr>
        <b/>
        <sz val="12"/>
        <color theme="1"/>
        <rFont val="Times New Roman"/>
        <family val="1"/>
      </rPr>
      <t>Style:</t>
    </r>
    <r>
      <rPr>
        <sz val="12"/>
        <color theme="1"/>
        <rFont val="Times New Roman"/>
        <family val="1"/>
      </rPr>
      <t xml:space="preserve"> E: Kawneer 8225TL Fixed
</t>
    </r>
    <r>
      <rPr>
        <b/>
        <sz val="12"/>
        <color theme="1"/>
        <rFont val="Times New Roman"/>
        <family val="1"/>
      </rPr>
      <t>Glazing Type</t>
    </r>
    <r>
      <rPr>
        <sz val="12"/>
        <color theme="1"/>
        <rFont val="Times New Roman"/>
        <family val="1"/>
      </rPr>
      <t xml:space="preserve">: G3: 
</t>
    </r>
    <r>
      <rPr>
        <sz val="12"/>
        <color rgb="FFFF0000"/>
        <rFont val="Times New Roman"/>
        <family val="1"/>
      </rPr>
      <t>Note: Details OF Glazing Is Not Mentioned.</t>
    </r>
  </si>
  <si>
    <r>
      <rPr>
        <b/>
        <sz val="12"/>
        <color theme="1"/>
        <rFont val="Times New Roman"/>
        <family val="1"/>
      </rPr>
      <t>Window Tag 122:</t>
    </r>
    <r>
      <rPr>
        <sz val="12"/>
        <color theme="1"/>
        <rFont val="Times New Roman"/>
        <family val="1"/>
      </rPr>
      <t xml:space="preserve"> 
</t>
    </r>
    <r>
      <rPr>
        <b/>
        <sz val="12"/>
        <color theme="1"/>
        <rFont val="Times New Roman"/>
        <family val="1"/>
      </rPr>
      <t xml:space="preserve">Window Size: </t>
    </r>
    <r>
      <rPr>
        <sz val="12"/>
        <color theme="1"/>
        <rFont val="Times New Roman"/>
        <family val="1"/>
      </rPr>
      <t xml:space="preserve">(78 3/4" W x 26" H) 
</t>
    </r>
    <r>
      <rPr>
        <b/>
        <sz val="12"/>
        <color theme="1"/>
        <rFont val="Times New Roman"/>
        <family val="1"/>
      </rPr>
      <t>Frame Material:</t>
    </r>
    <r>
      <rPr>
        <sz val="12"/>
        <color theme="1"/>
        <rFont val="Times New Roman"/>
        <family val="1"/>
      </rPr>
      <t xml:space="preserve"> Aluminum 
</t>
    </r>
    <r>
      <rPr>
        <b/>
        <sz val="12"/>
        <color theme="1"/>
        <rFont val="Times New Roman"/>
        <family val="1"/>
      </rPr>
      <t>Style:</t>
    </r>
    <r>
      <rPr>
        <sz val="12"/>
        <color theme="1"/>
        <rFont val="Times New Roman"/>
        <family val="1"/>
      </rPr>
      <t xml:space="preserve"> C: Kawneer 8400 Left Slider
</t>
    </r>
    <r>
      <rPr>
        <b/>
        <sz val="12"/>
        <color theme="1"/>
        <rFont val="Times New Roman"/>
        <family val="1"/>
      </rPr>
      <t>Glazing Type</t>
    </r>
    <r>
      <rPr>
        <sz val="12"/>
        <color theme="1"/>
        <rFont val="Times New Roman"/>
        <family val="1"/>
      </rPr>
      <t>: G1: Insulated Double Pane Glazing W/ Low-E Coating.</t>
    </r>
  </si>
  <si>
    <r>
      <rPr>
        <b/>
        <sz val="12"/>
        <color theme="1"/>
        <rFont val="Times New Roman"/>
        <family val="1"/>
      </rPr>
      <t>Window Tag 127-129:</t>
    </r>
    <r>
      <rPr>
        <sz val="12"/>
        <color theme="1"/>
        <rFont val="Times New Roman"/>
        <family val="1"/>
      </rPr>
      <t xml:space="preserve"> 
</t>
    </r>
    <r>
      <rPr>
        <b/>
        <sz val="12"/>
        <color theme="1"/>
        <rFont val="Times New Roman"/>
        <family val="1"/>
      </rPr>
      <t xml:space="preserve">Window Size: </t>
    </r>
    <r>
      <rPr>
        <sz val="12"/>
        <color theme="1"/>
        <rFont val="Times New Roman"/>
        <family val="1"/>
      </rPr>
      <t xml:space="preserve">(79 3/4" W x 26" H) 
</t>
    </r>
    <r>
      <rPr>
        <b/>
        <sz val="12"/>
        <color theme="1"/>
        <rFont val="Times New Roman"/>
        <family val="1"/>
      </rPr>
      <t>Frame Material:</t>
    </r>
    <r>
      <rPr>
        <sz val="12"/>
        <color theme="1"/>
        <rFont val="Times New Roman"/>
        <family val="1"/>
      </rPr>
      <t xml:space="preserve"> Aluminum 
</t>
    </r>
    <r>
      <rPr>
        <b/>
        <sz val="12"/>
        <color theme="1"/>
        <rFont val="Times New Roman"/>
        <family val="1"/>
      </rPr>
      <t>Style:</t>
    </r>
    <r>
      <rPr>
        <sz val="12"/>
        <color theme="1"/>
        <rFont val="Times New Roman"/>
        <family val="1"/>
      </rPr>
      <t xml:space="preserve"> B: Kawneer 8400 Right Slider
</t>
    </r>
    <r>
      <rPr>
        <b/>
        <sz val="12"/>
        <color theme="1"/>
        <rFont val="Times New Roman"/>
        <family val="1"/>
      </rPr>
      <t>Glazing Type</t>
    </r>
    <r>
      <rPr>
        <sz val="12"/>
        <color theme="1"/>
        <rFont val="Times New Roman"/>
        <family val="1"/>
      </rPr>
      <t>: G1: Insulated Double Pane Glazing W/ Low-E Coating.</t>
    </r>
  </si>
  <si>
    <r>
      <rPr>
        <b/>
        <sz val="12"/>
        <color theme="1"/>
        <rFont val="Times New Roman"/>
        <family val="1"/>
      </rPr>
      <t>Window Tag 130:</t>
    </r>
    <r>
      <rPr>
        <sz val="12"/>
        <color theme="1"/>
        <rFont val="Times New Roman"/>
        <family val="1"/>
      </rPr>
      <t xml:space="preserve"> 
</t>
    </r>
    <r>
      <rPr>
        <b/>
        <sz val="12"/>
        <color theme="1"/>
        <rFont val="Times New Roman"/>
        <family val="1"/>
      </rPr>
      <t xml:space="preserve">Window Size: </t>
    </r>
    <r>
      <rPr>
        <sz val="12"/>
        <color theme="1"/>
        <rFont val="Times New Roman"/>
        <family val="1"/>
      </rPr>
      <t xml:space="preserve">(76 3/4" W x 26" H) 
</t>
    </r>
    <r>
      <rPr>
        <b/>
        <sz val="12"/>
        <color theme="1"/>
        <rFont val="Times New Roman"/>
        <family val="1"/>
      </rPr>
      <t>Frame Material:</t>
    </r>
    <r>
      <rPr>
        <sz val="12"/>
        <color theme="1"/>
        <rFont val="Times New Roman"/>
        <family val="1"/>
      </rPr>
      <t xml:space="preserve"> Aluminum 
</t>
    </r>
    <r>
      <rPr>
        <b/>
        <sz val="12"/>
        <color theme="1"/>
        <rFont val="Times New Roman"/>
        <family val="1"/>
      </rPr>
      <t>Style:</t>
    </r>
    <r>
      <rPr>
        <sz val="12"/>
        <color theme="1"/>
        <rFont val="Times New Roman"/>
        <family val="1"/>
      </rPr>
      <t xml:space="preserve"> D: Kawneer 601T Fixed Pane
</t>
    </r>
    <r>
      <rPr>
        <b/>
        <sz val="12"/>
        <color theme="1"/>
        <rFont val="Times New Roman"/>
        <family val="1"/>
      </rPr>
      <t>Glazing Type</t>
    </r>
    <r>
      <rPr>
        <sz val="12"/>
        <color theme="1"/>
        <rFont val="Times New Roman"/>
        <family val="1"/>
      </rPr>
      <t>: G1: Insulated Double Pane Glazing W/ Low-E Coating.</t>
    </r>
  </si>
  <si>
    <r>
      <rPr>
        <b/>
        <sz val="12"/>
        <color theme="1"/>
        <rFont val="Times New Roman"/>
        <family val="1"/>
      </rPr>
      <t>Window Tag 131-133:</t>
    </r>
    <r>
      <rPr>
        <sz val="12"/>
        <color theme="1"/>
        <rFont val="Times New Roman"/>
        <family val="1"/>
      </rPr>
      <t xml:space="preserve"> 
</t>
    </r>
    <r>
      <rPr>
        <b/>
        <sz val="12"/>
        <color theme="1"/>
        <rFont val="Times New Roman"/>
        <family val="1"/>
      </rPr>
      <t xml:space="preserve">Window Size: </t>
    </r>
    <r>
      <rPr>
        <sz val="12"/>
        <color theme="1"/>
        <rFont val="Times New Roman"/>
        <family val="1"/>
      </rPr>
      <t xml:space="preserve">(79 3/4" W x 26" H) 
</t>
    </r>
    <r>
      <rPr>
        <b/>
        <sz val="12"/>
        <color theme="1"/>
        <rFont val="Times New Roman"/>
        <family val="1"/>
      </rPr>
      <t>Frame Material:</t>
    </r>
    <r>
      <rPr>
        <sz val="12"/>
        <color theme="1"/>
        <rFont val="Times New Roman"/>
        <family val="1"/>
      </rPr>
      <t xml:space="preserve"> Aluminum 
</t>
    </r>
    <r>
      <rPr>
        <b/>
        <sz val="12"/>
        <color theme="1"/>
        <rFont val="Times New Roman"/>
        <family val="1"/>
      </rPr>
      <t>Style:</t>
    </r>
    <r>
      <rPr>
        <sz val="12"/>
        <color theme="1"/>
        <rFont val="Times New Roman"/>
        <family val="1"/>
      </rPr>
      <t xml:space="preserve"> D: Kawneer 601T Fixed Pane
</t>
    </r>
    <r>
      <rPr>
        <b/>
        <sz val="12"/>
        <color theme="1"/>
        <rFont val="Times New Roman"/>
        <family val="1"/>
      </rPr>
      <t>Glazing Type</t>
    </r>
    <r>
      <rPr>
        <sz val="12"/>
        <color theme="1"/>
        <rFont val="Times New Roman"/>
        <family val="1"/>
      </rPr>
      <t>: G1: Insulated Double Pane Glazing W/ Low-E Coating.</t>
    </r>
  </si>
  <si>
    <t>Note: Basis Of Design For StoreFront To Be Kawneer Trifab Versa glaze 601T Framing System.</t>
  </si>
  <si>
    <r>
      <rPr>
        <b/>
        <sz val="12"/>
        <color theme="1"/>
        <rFont val="Times New Roman"/>
        <family val="1"/>
      </rPr>
      <t>Tag 1:</t>
    </r>
    <r>
      <rPr>
        <sz val="12"/>
        <color theme="1"/>
        <rFont val="Times New Roman"/>
        <family val="1"/>
      </rPr>
      <t xml:space="preserve"> Remove Existing Door in its entirety
</t>
    </r>
    <r>
      <rPr>
        <b/>
        <sz val="12"/>
        <color theme="1"/>
        <rFont val="Times New Roman"/>
        <family val="1"/>
      </rPr>
      <t>Door Size:</t>
    </r>
    <r>
      <rPr>
        <sz val="12"/>
        <color theme="1"/>
        <rFont val="Times New Roman"/>
        <family val="1"/>
      </rPr>
      <t xml:space="preserve"> (3'-0" W x 7'-0" H)</t>
    </r>
  </si>
  <si>
    <r>
      <t xml:space="preserve">Remove Existing Door in its entirety
</t>
    </r>
    <r>
      <rPr>
        <b/>
        <sz val="12"/>
        <color theme="1"/>
        <rFont val="Times New Roman"/>
        <family val="1"/>
      </rPr>
      <t>Door Size:</t>
    </r>
    <r>
      <rPr>
        <sz val="12"/>
        <color theme="1"/>
        <rFont val="Times New Roman"/>
        <family val="1"/>
      </rPr>
      <t xml:space="preserve"> (3'-0" W x 7'-0" H)
</t>
    </r>
    <r>
      <rPr>
        <sz val="12"/>
        <color rgb="FFFF0000"/>
        <rFont val="Times New Roman"/>
        <family val="1"/>
      </rPr>
      <t>Note: At These Location There are New Doors In Door Schedule, But No Demolition is Given In Demo Plan D101 , So We Have Assumed Demo For These Four Doors.</t>
    </r>
  </si>
  <si>
    <r>
      <rPr>
        <b/>
        <sz val="12"/>
        <color theme="1"/>
        <rFont val="Times New Roman"/>
        <family val="1"/>
      </rPr>
      <t>Tag 3:</t>
    </r>
    <r>
      <rPr>
        <sz val="12"/>
        <color theme="1"/>
        <rFont val="Times New Roman"/>
        <family val="1"/>
      </rPr>
      <t xml:space="preserve"> Remove Existing 96"W x 42"H Window (1 EA)</t>
    </r>
  </si>
  <si>
    <r>
      <rPr>
        <b/>
        <sz val="12"/>
        <color theme="1"/>
        <rFont val="Times New Roman"/>
        <family val="1"/>
      </rPr>
      <t>Tag 19:</t>
    </r>
    <r>
      <rPr>
        <sz val="12"/>
        <color theme="1"/>
        <rFont val="Times New Roman"/>
        <family val="1"/>
      </rPr>
      <t xml:space="preserve"> Saw Cut Door Opening In Masonry Wall( 6'3" W x 7' H)</t>
    </r>
  </si>
  <si>
    <r>
      <rPr>
        <b/>
        <sz val="12"/>
        <color theme="1"/>
        <rFont val="Times New Roman"/>
        <family val="1"/>
      </rPr>
      <t>Tag 15:</t>
    </r>
    <r>
      <rPr>
        <sz val="12"/>
        <color theme="1"/>
        <rFont val="Times New Roman"/>
        <family val="1"/>
      </rPr>
      <t xml:space="preserve"> Remove Existing Transformer (2'-8" W x 4' L)</t>
    </r>
  </si>
  <si>
    <r>
      <rPr>
        <b/>
        <sz val="12"/>
        <color theme="1"/>
        <rFont val="Times New Roman"/>
        <family val="1"/>
      </rPr>
      <t>Tag 11:</t>
    </r>
    <r>
      <rPr>
        <sz val="12"/>
        <color theme="1"/>
        <rFont val="Times New Roman"/>
        <family val="1"/>
      </rPr>
      <t xml:space="preserve"> Remove Compressor , Ducts incl. Concrete Pad </t>
    </r>
  </si>
  <si>
    <r>
      <rPr>
        <b/>
        <sz val="12"/>
        <color theme="1"/>
        <rFont val="Times New Roman"/>
        <family val="1"/>
      </rPr>
      <t xml:space="preserve">Tag 12: </t>
    </r>
    <r>
      <rPr>
        <sz val="12"/>
        <color theme="1"/>
        <rFont val="Times New Roman"/>
        <family val="1"/>
      </rPr>
      <t>Remove Wood Shed incl. Concrete Pad</t>
    </r>
  </si>
  <si>
    <r>
      <rPr>
        <b/>
        <sz val="12"/>
        <color theme="1"/>
        <rFont val="Times New Roman"/>
        <family val="1"/>
      </rPr>
      <t>Tag 20</t>
    </r>
    <r>
      <rPr>
        <sz val="12"/>
        <color theme="1"/>
        <rFont val="Times New Roman"/>
        <family val="1"/>
      </rPr>
      <t>: Remove Existing Chain Link Fence Gate
 (5' H x 20' W, Height is Assumed)</t>
    </r>
  </si>
  <si>
    <r>
      <rPr>
        <b/>
        <sz val="12"/>
        <color theme="1"/>
        <rFont val="Times New Roman"/>
        <family val="1"/>
      </rPr>
      <t>Tag 6:</t>
    </r>
    <r>
      <rPr>
        <sz val="12"/>
        <color theme="1"/>
        <rFont val="Times New Roman"/>
        <family val="1"/>
      </rPr>
      <t xml:space="preserve"> Remove Existing Skylights (4'-4" L x 1'-10" W)</t>
    </r>
  </si>
  <si>
    <r>
      <rPr>
        <b/>
        <sz val="12"/>
        <color theme="1"/>
        <rFont val="Times New Roman"/>
        <family val="1"/>
      </rPr>
      <t xml:space="preserve">Tag 4: </t>
    </r>
    <r>
      <rPr>
        <sz val="12"/>
        <color theme="1"/>
        <rFont val="Times New Roman"/>
        <family val="1"/>
      </rPr>
      <t xml:space="preserve">Remove Existing Sink </t>
    </r>
  </si>
  <si>
    <t>Aluminum Flashing W/ Drip Edge @ Windows Heads</t>
  </si>
  <si>
    <t>Note: Provide Powder Coated Finish to All Windows</t>
  </si>
  <si>
    <r>
      <rPr>
        <b/>
        <sz val="12"/>
        <color theme="1"/>
        <rFont val="Times New Roman"/>
        <family val="1"/>
      </rPr>
      <t>Tag 3:</t>
    </r>
    <r>
      <rPr>
        <sz val="12"/>
        <color theme="1"/>
        <rFont val="Times New Roman"/>
        <family val="1"/>
      </rPr>
      <t xml:space="preserve"> Remove Existing 24"W x 42"H Window (3 EA)</t>
    </r>
  </si>
  <si>
    <t>ASPHALT PAVEMENT</t>
  </si>
  <si>
    <t>Demo Plans</t>
  </si>
  <si>
    <r>
      <rPr>
        <b/>
        <sz val="12"/>
        <color theme="1"/>
        <rFont val="Times New Roman"/>
        <family val="1"/>
      </rPr>
      <t>Tag 20</t>
    </r>
    <r>
      <rPr>
        <sz val="12"/>
        <color theme="1"/>
        <rFont val="Times New Roman"/>
        <family val="1"/>
      </rPr>
      <t>: Remove Existing Chain Link Fence Gate
 (5' H x 5' W, Height is Assumed)</t>
    </r>
  </si>
  <si>
    <t>1'-1" W x 5/4" Thk. OAK Sill Board @ Window Type A.</t>
  </si>
  <si>
    <t>3% Light Filtering Shade.(16 EA)</t>
  </si>
  <si>
    <t>PATCH &amp; REPAIR</t>
  </si>
  <si>
    <t>A200</t>
  </si>
  <si>
    <t>A603</t>
  </si>
  <si>
    <t>Storefront Details</t>
  </si>
  <si>
    <t>Dual Shades W/ 3% Fabric &amp; Backout Shades.(2 EA)</t>
  </si>
  <si>
    <t>One 3% Light Filtering Continuous Shade @ Stacked Vertically Windows.(4 EA)</t>
  </si>
  <si>
    <t>CONCRETE CUTTING:</t>
  </si>
  <si>
    <t>2/A300</t>
  </si>
  <si>
    <t>Sawcut and Remove Existing Slab for Conduit Installation</t>
  </si>
  <si>
    <t>4" Concrete Slab Infill (0.2 CY)</t>
  </si>
  <si>
    <t>Compacted CR6 Backfill</t>
  </si>
  <si>
    <t>Core Drill and Install 3" Pipe Sleeves</t>
  </si>
  <si>
    <t>CONCRETE SLAB:</t>
  </si>
  <si>
    <t>2-3/A500</t>
  </si>
  <si>
    <t>6 MIL Polyurethane Vapor Barrier</t>
  </si>
  <si>
    <t>Compacted Fill</t>
  </si>
  <si>
    <t>CONCRETE FILL:</t>
  </si>
  <si>
    <t>Fill W/ Concrete and Level Existing Floor (11 CY)</t>
  </si>
  <si>
    <t>CMU INFILL</t>
  </si>
  <si>
    <t>3/A500</t>
  </si>
  <si>
    <t>8" CMU Infill W/ Corrugated Masonry Ties and Weep Hole</t>
  </si>
  <si>
    <t>4" Brick Veneer Infill W/ Corrugated Masonry Ties</t>
  </si>
  <si>
    <t>12" CMU Infill @ Interior CMU Wall</t>
  </si>
  <si>
    <t>BLOCKING:</t>
  </si>
  <si>
    <t>A400</t>
  </si>
  <si>
    <t>CABINETRY &amp; MILLWORK:</t>
  </si>
  <si>
    <t>36" L x 30" H x 12" D Wall Cabinet W/ Doors, Hardware and Adj Shelving</t>
  </si>
  <si>
    <t>36" L x 24" H x 12" D Wall Cabinet W/ Doors, Hardware and Adj Shelving</t>
  </si>
  <si>
    <t>18" L x 30" H x 12" D Wall Cabinet W/ Door, Hardware and Adj Shelving</t>
  </si>
  <si>
    <t>24" Deep Drawers W/ Hardware
-Finger Jointed Wood W/ Dovetail</t>
  </si>
  <si>
    <t>18" L x 36" H x 24" D Base Cabinet W/  Door, Hardware and Shelving</t>
  </si>
  <si>
    <r>
      <rPr>
        <b/>
        <sz val="12"/>
        <color rgb="FFFF0000"/>
        <rFont val="Times New Roman"/>
        <family val="1"/>
      </rPr>
      <t>Note:</t>
    </r>
    <r>
      <rPr>
        <sz val="12"/>
        <color rgb="FFFF0000"/>
        <rFont val="Times New Roman"/>
        <family val="1"/>
      </rPr>
      <t xml:space="preserve"> Casework To Be Carb 2 Compliant 5/8" Grade a Solid Birch Plywood. Mortise and Tenon Joint frame. Pre- Finished Exterior </t>
    </r>
  </si>
  <si>
    <t>FLOORING:</t>
  </si>
  <si>
    <t>A601</t>
  </si>
  <si>
    <t>Sealed Concrete</t>
  </si>
  <si>
    <t xml:space="preserve">Luxury Vinyl Tile Planks </t>
  </si>
  <si>
    <t>3/8" Thick Epoxy Polymer Overlay</t>
  </si>
  <si>
    <t>Mat @ Entry</t>
  </si>
  <si>
    <t>WALL BASE:</t>
  </si>
  <si>
    <t>4.25" H Thermo-Plastic Rubber Base</t>
  </si>
  <si>
    <t>4" H Vinyl Cove Base</t>
  </si>
  <si>
    <t>ACT CEILING:</t>
  </si>
  <si>
    <r>
      <t xml:space="preserve">24" x 48" Scored Acoustical Ceiling Panels
</t>
    </r>
    <r>
      <rPr>
        <b/>
        <sz val="12"/>
        <color theme="1"/>
        <rFont val="Times New Roman"/>
        <family val="1"/>
      </rPr>
      <t>Model</t>
    </r>
    <r>
      <rPr>
        <sz val="12"/>
        <color theme="1"/>
        <rFont val="Times New Roman"/>
        <family val="1"/>
      </rPr>
      <t xml:space="preserve">: Armstrong Model 9767 or Equal
</t>
    </r>
    <r>
      <rPr>
        <b/>
        <sz val="12"/>
        <color theme="1"/>
        <rFont val="Times New Roman"/>
        <family val="1"/>
      </rPr>
      <t>Grid:</t>
    </r>
    <r>
      <rPr>
        <sz val="12"/>
        <color theme="1"/>
        <rFont val="Times New Roman"/>
        <family val="1"/>
      </rPr>
      <t xml:space="preserve"> Armstrong Prejudge 15/16 Grid System or Equal </t>
    </r>
  </si>
  <si>
    <t>WALL PAINT:</t>
  </si>
  <si>
    <t>Wall Paint
-Primed and Two Coats Eggshell Paint</t>
  </si>
  <si>
    <r>
      <rPr>
        <b/>
        <sz val="12"/>
        <color theme="1"/>
        <rFont val="Times New Roman"/>
        <family val="1"/>
      </rPr>
      <t xml:space="preserve">DC1: </t>
    </r>
    <r>
      <rPr>
        <sz val="12"/>
        <color theme="1"/>
        <rFont val="Times New Roman"/>
        <family val="1"/>
      </rPr>
      <t xml:space="preserve">Deep Color Wall Paint
</t>
    </r>
    <r>
      <rPr>
        <b/>
        <sz val="12"/>
        <color theme="1"/>
        <rFont val="Times New Roman"/>
        <family val="1"/>
      </rPr>
      <t xml:space="preserve">Description: </t>
    </r>
    <r>
      <rPr>
        <sz val="12"/>
        <color theme="1"/>
        <rFont val="Times New Roman"/>
        <family val="1"/>
      </rPr>
      <t>Orange Soda. Match Armstrong Duo Flooring # ST517</t>
    </r>
  </si>
  <si>
    <r>
      <rPr>
        <b/>
        <sz val="12"/>
        <color theme="1"/>
        <rFont val="Times New Roman"/>
        <family val="1"/>
      </rPr>
      <t xml:space="preserve">DC2: </t>
    </r>
    <r>
      <rPr>
        <sz val="12"/>
        <color theme="1"/>
        <rFont val="Times New Roman"/>
        <family val="1"/>
      </rPr>
      <t xml:space="preserve">Deep Color Wall Paint
</t>
    </r>
    <r>
      <rPr>
        <b/>
        <sz val="12"/>
        <color theme="1"/>
        <rFont val="Times New Roman"/>
        <family val="1"/>
      </rPr>
      <t xml:space="preserve">Description: </t>
    </r>
    <r>
      <rPr>
        <sz val="12"/>
        <color theme="1"/>
        <rFont val="Times New Roman"/>
        <family val="1"/>
      </rPr>
      <t>Appletini (Green). Match Armstrong Duo Flooring # ST526</t>
    </r>
  </si>
  <si>
    <r>
      <rPr>
        <b/>
        <sz val="12"/>
        <color theme="1"/>
        <rFont val="Times New Roman"/>
        <family val="1"/>
      </rPr>
      <t xml:space="preserve">DC3: </t>
    </r>
    <r>
      <rPr>
        <sz val="12"/>
        <color theme="1"/>
        <rFont val="Times New Roman"/>
        <family val="1"/>
      </rPr>
      <t xml:space="preserve">Deep Color Wall Paint
</t>
    </r>
    <r>
      <rPr>
        <b/>
        <sz val="12"/>
        <color theme="1"/>
        <rFont val="Times New Roman"/>
        <family val="1"/>
      </rPr>
      <t xml:space="preserve">Description: </t>
    </r>
    <r>
      <rPr>
        <sz val="12"/>
        <color theme="1"/>
        <rFont val="Times New Roman"/>
        <family val="1"/>
      </rPr>
      <t>Pineapple Juice ( Yellow). Match Armstrong Duo Flooring # ST516</t>
    </r>
  </si>
  <si>
    <r>
      <rPr>
        <b/>
        <sz val="12"/>
        <color theme="1"/>
        <rFont val="Times New Roman"/>
        <family val="1"/>
      </rPr>
      <t xml:space="preserve">DC4: </t>
    </r>
    <r>
      <rPr>
        <sz val="12"/>
        <color theme="1"/>
        <rFont val="Times New Roman"/>
        <family val="1"/>
      </rPr>
      <t xml:space="preserve">Deep Color Wall Paint
</t>
    </r>
    <r>
      <rPr>
        <b/>
        <sz val="12"/>
        <color theme="1"/>
        <rFont val="Times New Roman"/>
        <family val="1"/>
      </rPr>
      <t>Description: Blue Lagoon</t>
    </r>
    <r>
      <rPr>
        <sz val="12"/>
        <color theme="1"/>
        <rFont val="Times New Roman"/>
        <family val="1"/>
      </rPr>
      <t>. Match Armstrong Duo Flooring # ST524</t>
    </r>
  </si>
  <si>
    <r>
      <rPr>
        <b/>
        <sz val="12"/>
        <color theme="1"/>
        <rFont val="Times New Roman"/>
        <family val="1"/>
      </rPr>
      <t xml:space="preserve">DC5: </t>
    </r>
    <r>
      <rPr>
        <sz val="12"/>
        <color theme="1"/>
        <rFont val="Times New Roman"/>
        <family val="1"/>
      </rPr>
      <t xml:space="preserve">Deep Color Wall Paint
</t>
    </r>
    <r>
      <rPr>
        <b/>
        <sz val="12"/>
        <color theme="1"/>
        <rFont val="Times New Roman"/>
        <family val="1"/>
      </rPr>
      <t xml:space="preserve">Description: </t>
    </r>
    <r>
      <rPr>
        <sz val="12"/>
        <color theme="1"/>
        <rFont val="Times New Roman"/>
        <family val="1"/>
      </rPr>
      <t>Fruit Punch (Red). Match Armstrong Duo Flooring # ST518</t>
    </r>
  </si>
  <si>
    <r>
      <rPr>
        <b/>
        <sz val="12"/>
        <color rgb="FFFF0000"/>
        <rFont val="Times New Roman"/>
        <family val="1"/>
      </rPr>
      <t>Note:</t>
    </r>
    <r>
      <rPr>
        <sz val="12"/>
        <color rgb="FFFF0000"/>
        <rFont val="Times New Roman"/>
        <family val="1"/>
      </rPr>
      <t xml:space="preserve"> Color To Be Selected From The Manufacturer's Full Range. 
Paint Mfr To Be Benjamin Moore, Valspar, Sherwin Williams, Or Glidden
Primer To Be Manufacturer By Kilz Or Equal 
All Paint To Be Mold And Moisture Resistant 
Paint Quality To Eb Benjamin Moore Regal Select Or Equal</t>
    </r>
  </si>
  <si>
    <t>SOFFIT PAINT:</t>
  </si>
  <si>
    <t>5/A603</t>
  </si>
  <si>
    <t>Clean Scrape and Repaint Existing Plywood Soffit</t>
  </si>
  <si>
    <t>FIRE EXTINGUISHERS</t>
  </si>
  <si>
    <t>Legend/ A101</t>
  </si>
  <si>
    <t>Fire Extinguishers W/ Mounting Brackets</t>
  </si>
  <si>
    <t>SIGNAGE</t>
  </si>
  <si>
    <t>Door Schedule/ A600</t>
  </si>
  <si>
    <t>Exterior Exit Signage @ Entry Door</t>
  </si>
  <si>
    <t xml:space="preserve">1.25" Thk Granite Grade 2 Stone Countertop </t>
  </si>
  <si>
    <t>4" Granite Backsplash</t>
  </si>
  <si>
    <t>METAL FABRICATIONS</t>
  </si>
  <si>
    <t>A103</t>
  </si>
  <si>
    <t>Plan Notes/A101</t>
  </si>
  <si>
    <t>2'-3"W x 14'-0"H Steel Ladder</t>
  </si>
  <si>
    <t>2/A501, PUT-T-18/ TPO Details</t>
  </si>
  <si>
    <t>1-1/2"x5-1/2" Pressure Treated Blocking</t>
  </si>
  <si>
    <t>3, 4/A501, Note 5/A103</t>
  </si>
  <si>
    <t>1-1/2"x4" Pressure Treated Blocking</t>
  </si>
  <si>
    <t>1-1/2"x9" Pressure Treated Blocking</t>
  </si>
  <si>
    <t>THERMOPLASTIC MEMBRANE ROOFING</t>
  </si>
  <si>
    <t>Note 2/A103, PUT-T-18 / TPO Details</t>
  </si>
  <si>
    <t>0.080" Platinum Thermoplastic-Polyolefin Roofing (TPO) Membrane</t>
  </si>
  <si>
    <t>Note 2/A103</t>
  </si>
  <si>
    <t xml:space="preserve"> 1/2" OSB Protection Board</t>
  </si>
  <si>
    <t>Note 2/A103, PUT-RE-12, TPO Details</t>
  </si>
  <si>
    <t>6" Firestone Rigid ISO Insulation (R-30)</t>
  </si>
  <si>
    <t>PUT-T-18 / TPO Details</t>
  </si>
  <si>
    <t>Firestone TPO Bonding Adhesive</t>
  </si>
  <si>
    <t>2/A501,  FS-DL-8/ TPO Details</t>
  </si>
  <si>
    <t>1/A501, PUT-T-18/ TPO Details</t>
  </si>
  <si>
    <t>3, 4/A501, Bid RFI GCI 01, PUT-RE-1/ TPO Details</t>
  </si>
  <si>
    <t>4/A501, Note 5/A103</t>
  </si>
  <si>
    <t>13'-3"Hx 4"Dia Round Downspout w/ Aluminum Drain Cover Compatible With TPO Roofing</t>
  </si>
  <si>
    <t>A103 Rev 1</t>
  </si>
  <si>
    <t>Note 8/A103 
Rev 1, MA-9/ TPO Details</t>
  </si>
  <si>
    <t>2'-6"Wx30'-0"L X-Tred Roof Walkway Pads</t>
  </si>
  <si>
    <t>FLASHING AND SHEET METAL</t>
  </si>
  <si>
    <t>FS-DL-8/ TPO Details</t>
  </si>
  <si>
    <t>MA-9/TPO Details</t>
  </si>
  <si>
    <t xml:space="preserve">A103 </t>
  </si>
  <si>
    <t>1/2" Vinyl Weather Strip</t>
  </si>
  <si>
    <t>JOINT PROTECTION</t>
  </si>
  <si>
    <t>Note 5/PUT-T-18 /TPO Details</t>
  </si>
  <si>
    <t>ROOF WINDOWS AND SKYLIGHTS</t>
  </si>
  <si>
    <t>Note 1/ A103, 
FS-DL-8/ TPO Details</t>
  </si>
  <si>
    <t>Note 3/ A103, 
FS-DL-8/ TPO Details</t>
  </si>
  <si>
    <t>UNIT SKYLIGHTS:</t>
  </si>
  <si>
    <t>2A/A500, Assembly Notes</t>
  </si>
  <si>
    <t>Type 2A Metal Stud Wall:</t>
  </si>
  <si>
    <t>3-5/8" 2 Hour Rated Metal Stud Wall Furring As:</t>
  </si>
  <si>
    <t>5/8" GWB At Interior Side</t>
  </si>
  <si>
    <t>3-5/8" Metal Studs @ 16" O.C. (Height Varies)</t>
  </si>
  <si>
    <t>3-5/8" Metal Track @ Top</t>
  </si>
  <si>
    <t>3-5/8" Metal Track @ Bottom</t>
  </si>
  <si>
    <t>2" Rigid Foam Insulation Board (Min. R-10 Cont. Insul.)</t>
  </si>
  <si>
    <t>Fluid Applied Vapor Permeable Air Barrier</t>
  </si>
  <si>
    <t>Sealant @ All Penetrations</t>
  </si>
  <si>
    <t>0A/A500, Assembly Notes</t>
  </si>
  <si>
    <t>Type 0A Metal Stud Wall:</t>
  </si>
  <si>
    <t>3-5/8" Metal Stud Wall As:</t>
  </si>
  <si>
    <t>1 Layer Of Gypsum Wall Board On Both Sides</t>
  </si>
  <si>
    <t>Mineral Wool Acoustical Batt Insulation</t>
  </si>
  <si>
    <t>0B/A500, Assembly Notes</t>
  </si>
  <si>
    <t>Type 0B Metal Stud Wall:</t>
  </si>
  <si>
    <t>6" Metal Stud Wall As:</t>
  </si>
  <si>
    <t>6" Metal Studs @ 16" O.C. (Height Varies)</t>
  </si>
  <si>
    <t>6" Metal Track @ Top</t>
  </si>
  <si>
    <t>6" Metal Track @ Bottom</t>
  </si>
  <si>
    <t>CONVECTION HEATING AND COOLING UNITS</t>
  </si>
  <si>
    <t>Note 4/A103</t>
  </si>
  <si>
    <t>Carrier RTU Unit
Size: 7'x5' 
Weight: 2000 LBs</t>
  </si>
  <si>
    <t>Note 7/A103</t>
  </si>
  <si>
    <t>M101</t>
  </si>
  <si>
    <t>M001</t>
  </si>
  <si>
    <t>INDOOR UNITS @ IT &amp; SERVER ROOM:</t>
  </si>
  <si>
    <t>Indoor Units: MSS-11A &amp; MSS-12A 
Mnf: Mitsubishi
Model: Mitsubishi-Trane, MSY-GL18NA-U1</t>
  </si>
  <si>
    <t xml:space="preserve">Condensate Pump 
Model: Blue Diamond x87-711/721 </t>
  </si>
  <si>
    <t xml:space="preserve">Drain Pan Level Sensor </t>
  </si>
  <si>
    <t xml:space="preserve">Wired Wall Mounted Thermostat </t>
  </si>
  <si>
    <t>OUTDOOR UNIT @ ROOFTOP:</t>
  </si>
  <si>
    <t>Outdoor Units: MSS-11 &amp; MSS-12
Mnf: Mitsubishi
Model: MUY-GL18NA-U1</t>
  </si>
  <si>
    <t>Drain Pan Heater 
Mnf: Mitsubishi
Model: MAC-640BH-U</t>
  </si>
  <si>
    <t xml:space="preserve">3.25" Mounting Base </t>
  </si>
  <si>
    <t>Drain Pan Socket</t>
  </si>
  <si>
    <t>CD-100</t>
  </si>
  <si>
    <t>Keynote #1/CD-100</t>
  </si>
  <si>
    <t>Remove Concrete Curb &amp; Gutter</t>
  </si>
  <si>
    <t>Keynote #2/CD-100</t>
  </si>
  <si>
    <t>Remove HVAC Unit</t>
  </si>
  <si>
    <t>Keynote #5/CD-100</t>
  </si>
  <si>
    <t>Remove Concrete Sidewalk</t>
  </si>
  <si>
    <t>Keynote #6/CD-100</t>
  </si>
  <si>
    <t>Remove Concrete Pavement</t>
  </si>
  <si>
    <t>Keynote #7/CD-100</t>
  </si>
  <si>
    <t>Remove Existing Sign</t>
  </si>
  <si>
    <t>LF-101</t>
  </si>
  <si>
    <t>Remove Trees From Previous Forest Conservation Plan</t>
  </si>
  <si>
    <t>Relocate Existing Signs A
 - (12"x18") Fire Lane
 - R7-1</t>
  </si>
  <si>
    <t>Relocate Existing Signs B
 - (12"x24") Reserved Parking
 - R7-8
 - (12"x 6") Van Accessible
 - R7-8p</t>
  </si>
  <si>
    <t>EROSION &amp; SEDIMENT CONTROL</t>
  </si>
  <si>
    <t>SILT FENCE</t>
  </si>
  <si>
    <t>CE-101</t>
  </si>
  <si>
    <t>CE-502</t>
  </si>
  <si>
    <t xml:space="preserve">24" High Woven Silt Fence w/ 36" High Wooden Posts @ 6'-0'O.C. </t>
  </si>
  <si>
    <t>TREES PROTECTION FENCE (350 LF)</t>
  </si>
  <si>
    <t>A-6/LF-102</t>
  </si>
  <si>
    <t>8'-0" H Metal Posts Driven 24" Into Ground @ 10' O.C</t>
  </si>
  <si>
    <t>10" x 12" Weatherproof Signs @ 30'-0" O.C</t>
  </si>
  <si>
    <t>7'-10" x 5'-6" AT GRADE INLET PROTECTION (2 EA)</t>
  </si>
  <si>
    <t>1/4" Galvanized Hardware Clothes</t>
  </si>
  <si>
    <t>Non Woven Geotextile</t>
  </si>
  <si>
    <t>3/4" Thick Stone Layer</t>
  </si>
  <si>
    <t>GRADING</t>
  </si>
  <si>
    <t>Total Cut</t>
  </si>
  <si>
    <t>Total Fill</t>
  </si>
  <si>
    <t>Additional/Net Cut Required</t>
  </si>
  <si>
    <t>CURB &amp; GUTTER</t>
  </si>
  <si>
    <t>CS-101</t>
  </si>
  <si>
    <t>CS-501</t>
  </si>
  <si>
    <t xml:space="preserve">Mountable Curb &amp; Gutter </t>
  </si>
  <si>
    <t>CONCRETE SIDEWALK</t>
  </si>
  <si>
    <t xml:space="preserve"> CS-101</t>
  </si>
  <si>
    <t>4" Thick Concrete Sidewalk (9 CY)</t>
  </si>
  <si>
    <t>Expansion Joint @ 6'-0" O.C
 - 1/2" Perforated Cork, Trimmed &amp; Sealed w/ Non Staining, Two Component Polysulfide ASTM-C(20</t>
  </si>
  <si>
    <r>
      <t xml:space="preserve">8" Thick Depressed Concrete Curb (39SF)
</t>
    </r>
    <r>
      <rPr>
        <sz val="12"/>
        <color rgb="FFFF0000"/>
        <rFont val="Times New Roman"/>
        <family val="1"/>
      </rPr>
      <t>Note: Thickness Is Assumed</t>
    </r>
  </si>
  <si>
    <t>RAMP</t>
  </si>
  <si>
    <t xml:space="preserve">ADA Curb Ramp
 - Coarse Textured Broom Finish w/ 2" Minimum Border </t>
  </si>
  <si>
    <t>CONCRETE PAVEMENT</t>
  </si>
  <si>
    <t>CS-502</t>
  </si>
  <si>
    <t>5" Thick (4500 PSI Concrete Pavement (322 SF)</t>
  </si>
  <si>
    <t>#4 @16" O.C</t>
  </si>
  <si>
    <t>Vapor Barrier</t>
  </si>
  <si>
    <t>Geo Fabric Mirafi 600x</t>
  </si>
  <si>
    <t>PAVEMENT MARKING STRIPS</t>
  </si>
  <si>
    <t>Keynote #2/CS-101</t>
  </si>
  <si>
    <t>5" Wide Pavement Strip
 - White</t>
  </si>
  <si>
    <t>Keynote #7/CS-101, CS-502</t>
  </si>
  <si>
    <t>12" Wide Thermoplastic Crosswalk Strips
 - Solid White</t>
  </si>
  <si>
    <t>Keynote #1/CS-101, CS-502</t>
  </si>
  <si>
    <t>4" Wide ADA Symbol Strip
 - White</t>
  </si>
  <si>
    <t>SIGNAGE CONCRETE FOOTING</t>
  </si>
  <si>
    <t>12" Dia x 2'-6" H Concrete Footing
 - (3500 PSI, SHA Mix 3)</t>
  </si>
  <si>
    <t>SIGNAGE POST</t>
  </si>
  <si>
    <r>
      <t xml:space="preserve">3" Dia x 9'-0" H Steel U Post
- 1 Coat #769 Dampproof Red Primer
- 1 Coat Exterior Flat Black Enamel 
</t>
    </r>
    <r>
      <rPr>
        <sz val="12"/>
        <color rgb="FFFF0000"/>
        <rFont val="Times New Roman"/>
        <family val="1"/>
      </rPr>
      <t>Note: Dia of Steel Post Is Assumed, Please Verify.</t>
    </r>
  </si>
  <si>
    <t>DUMPSTER ENCLOSURE</t>
  </si>
  <si>
    <r>
      <rPr>
        <b/>
        <sz val="12"/>
        <color theme="1"/>
        <rFont val="Times New Roman"/>
        <family val="1"/>
      </rPr>
      <t xml:space="preserve">Description: </t>
    </r>
    <r>
      <rPr>
        <sz val="12"/>
        <color theme="1"/>
        <rFont val="Times New Roman"/>
        <family val="1"/>
      </rPr>
      <t xml:space="preserve">Chain Link Fence w/ 16'-0" Wide Gate
</t>
    </r>
    <r>
      <rPr>
        <b/>
        <sz val="12"/>
        <color theme="1"/>
        <rFont val="Times New Roman"/>
        <family val="1"/>
      </rPr>
      <t>Standard Height:</t>
    </r>
    <r>
      <rPr>
        <sz val="12"/>
        <color theme="1"/>
        <rFont val="Times New Roman"/>
        <family val="1"/>
      </rPr>
      <t xml:space="preserve"> 6'-0" H
</t>
    </r>
    <r>
      <rPr>
        <b/>
        <sz val="12"/>
        <color theme="1"/>
        <rFont val="Times New Roman"/>
        <family val="1"/>
      </rPr>
      <t xml:space="preserve">Slat Type: </t>
    </r>
    <r>
      <rPr>
        <sz val="12"/>
        <color theme="1"/>
        <rFont val="Times New Roman"/>
        <family val="1"/>
      </rPr>
      <t xml:space="preserve">Top Lock 2"
</t>
    </r>
    <r>
      <rPr>
        <b/>
        <sz val="12"/>
        <color theme="1"/>
        <rFont val="Times New Roman"/>
        <family val="1"/>
      </rPr>
      <t>Slat Width</t>
    </r>
    <r>
      <rPr>
        <sz val="12"/>
        <color theme="1"/>
        <rFont val="Times New Roman"/>
        <family val="1"/>
      </rPr>
      <t xml:space="preserve">: 1 3/32"
</t>
    </r>
    <r>
      <rPr>
        <b/>
        <sz val="12"/>
        <color theme="1"/>
        <rFont val="Times New Roman"/>
        <family val="1"/>
      </rPr>
      <t>Mesh Size</t>
    </r>
    <r>
      <rPr>
        <sz val="12"/>
        <color theme="1"/>
        <rFont val="Times New Roman"/>
        <family val="1"/>
      </rPr>
      <t xml:space="preserve">: 2"
</t>
    </r>
    <r>
      <rPr>
        <b/>
        <sz val="12"/>
        <color theme="1"/>
        <rFont val="Times New Roman"/>
        <family val="1"/>
      </rPr>
      <t>Wire Gauge:</t>
    </r>
    <r>
      <rPr>
        <sz val="12"/>
        <color theme="1"/>
        <rFont val="Times New Roman"/>
        <family val="1"/>
      </rPr>
      <t xml:space="preserve"> 8
</t>
    </r>
    <r>
      <rPr>
        <b/>
        <sz val="12"/>
        <color theme="1"/>
        <rFont val="Times New Roman"/>
        <family val="1"/>
      </rPr>
      <t>Slats Per Bag:</t>
    </r>
    <r>
      <rPr>
        <sz val="12"/>
        <color theme="1"/>
        <rFont val="Times New Roman"/>
        <family val="1"/>
      </rPr>
      <t xml:space="preserve"> 82
</t>
    </r>
    <r>
      <rPr>
        <b/>
        <sz val="12"/>
        <color theme="1"/>
        <rFont val="Times New Roman"/>
        <family val="1"/>
      </rPr>
      <t xml:space="preserve">Approximate Cover Per Box: </t>
    </r>
    <r>
      <rPr>
        <sz val="12"/>
        <color theme="1"/>
        <rFont val="Times New Roman"/>
        <family val="1"/>
      </rPr>
      <t>10 LF</t>
    </r>
  </si>
  <si>
    <t>PLANTS</t>
  </si>
  <si>
    <t>LS-101</t>
  </si>
  <si>
    <t>1/LS-102</t>
  </si>
  <si>
    <r>
      <t xml:space="preserve">3" Double Shredded Hardwood Mulching @ Shrubs Planting
</t>
    </r>
    <r>
      <rPr>
        <sz val="12"/>
        <color rgb="FFFF0000"/>
        <rFont val="Times New Roman"/>
        <family val="1"/>
      </rPr>
      <t>Note: 2'-0" Dia Is Assumed</t>
    </r>
  </si>
  <si>
    <r>
      <t xml:space="preserve">3"  Saucer @ Shrubs Planting
</t>
    </r>
    <r>
      <rPr>
        <sz val="12"/>
        <color rgb="FFFF0000"/>
        <rFont val="Times New Roman"/>
        <family val="1"/>
      </rPr>
      <t>Note: 2'-0" Dia Is Assumed</t>
    </r>
  </si>
  <si>
    <r>
      <t xml:space="preserve">3" Double Shredded Hardwood Mulching @ Trees Planting
</t>
    </r>
    <r>
      <rPr>
        <sz val="12"/>
        <color rgb="FFFF0000"/>
        <rFont val="Times New Roman"/>
        <family val="1"/>
      </rPr>
      <t>Note: 2'-0" Dia Is Assumed</t>
    </r>
  </si>
  <si>
    <r>
      <t xml:space="preserve">4"  Saucer @ Tree Planting
</t>
    </r>
    <r>
      <rPr>
        <sz val="12"/>
        <color rgb="FFFF0000"/>
        <rFont val="Times New Roman"/>
        <family val="1"/>
      </rPr>
      <t>Note: 2'-0" Dia Is Assumed</t>
    </r>
  </si>
  <si>
    <t>TREES</t>
  </si>
  <si>
    <t>Plant Schedule/LS-101</t>
  </si>
  <si>
    <r>
      <rPr>
        <b/>
        <sz val="12"/>
        <color theme="1"/>
        <rFont val="Times New Roman"/>
        <family val="1"/>
      </rPr>
      <t>Plan Tag:</t>
    </r>
    <r>
      <rPr>
        <sz val="12"/>
        <color theme="1"/>
        <rFont val="Times New Roman"/>
        <family val="1"/>
      </rPr>
      <t xml:space="preserve"> PH
</t>
    </r>
    <r>
      <rPr>
        <b/>
        <sz val="12"/>
        <color theme="1"/>
        <rFont val="Times New Roman"/>
        <family val="1"/>
      </rPr>
      <t xml:space="preserve">Botanical Name: </t>
    </r>
    <r>
      <rPr>
        <sz val="12"/>
        <color theme="1"/>
        <rFont val="Times New Roman"/>
        <family val="1"/>
      </rPr>
      <t xml:space="preserve">Pinus Heldreichii
</t>
    </r>
    <r>
      <rPr>
        <b/>
        <sz val="12"/>
        <color theme="1"/>
        <rFont val="Times New Roman"/>
        <family val="1"/>
      </rPr>
      <t>Common Name:</t>
    </r>
    <r>
      <rPr>
        <sz val="12"/>
        <color theme="1"/>
        <rFont val="Times New Roman"/>
        <family val="1"/>
      </rPr>
      <t xml:space="preserve"> Bosnian Pine
</t>
    </r>
    <r>
      <rPr>
        <b/>
        <sz val="12"/>
        <color theme="1"/>
        <rFont val="Times New Roman"/>
        <family val="1"/>
      </rPr>
      <t xml:space="preserve">Cont.: </t>
    </r>
    <r>
      <rPr>
        <sz val="12"/>
        <color theme="1"/>
        <rFont val="Times New Roman"/>
        <family val="1"/>
      </rPr>
      <t xml:space="preserve">B&amp;B
</t>
    </r>
    <r>
      <rPr>
        <b/>
        <sz val="12"/>
        <color theme="1"/>
        <rFont val="Times New Roman"/>
        <family val="1"/>
      </rPr>
      <t xml:space="preserve">Size: </t>
    </r>
    <r>
      <rPr>
        <sz val="12"/>
        <color theme="1"/>
        <rFont val="Times New Roman"/>
        <family val="1"/>
      </rPr>
      <t>8'-10" H</t>
    </r>
  </si>
  <si>
    <t>SHURUBS</t>
  </si>
  <si>
    <r>
      <rPr>
        <b/>
        <sz val="12"/>
        <color theme="1"/>
        <rFont val="Times New Roman"/>
        <family val="1"/>
      </rPr>
      <t>Plan Tag:</t>
    </r>
    <r>
      <rPr>
        <sz val="12"/>
        <color theme="1"/>
        <rFont val="Times New Roman"/>
        <family val="1"/>
      </rPr>
      <t xml:space="preserve"> AM
</t>
    </r>
    <r>
      <rPr>
        <b/>
        <sz val="12"/>
        <color theme="1"/>
        <rFont val="Times New Roman"/>
        <family val="1"/>
      </rPr>
      <t xml:space="preserve">Botanical Name: </t>
    </r>
    <r>
      <rPr>
        <sz val="12"/>
        <color theme="1"/>
        <rFont val="Times New Roman"/>
        <family val="1"/>
      </rPr>
      <t xml:space="preserve">Aronia Melanocarpa Morton
</t>
    </r>
    <r>
      <rPr>
        <b/>
        <sz val="12"/>
        <color theme="1"/>
        <rFont val="Times New Roman"/>
        <family val="1"/>
      </rPr>
      <t>Common Name:</t>
    </r>
    <r>
      <rPr>
        <sz val="12"/>
        <color theme="1"/>
        <rFont val="Times New Roman"/>
        <family val="1"/>
      </rPr>
      <t xml:space="preserve"> Iroquois Beauty TM Black Chokeberry
</t>
    </r>
    <r>
      <rPr>
        <b/>
        <sz val="12"/>
        <color theme="1"/>
        <rFont val="Times New Roman"/>
        <family val="1"/>
      </rPr>
      <t>Cont.:</t>
    </r>
    <r>
      <rPr>
        <sz val="12"/>
        <color theme="1"/>
        <rFont val="Times New Roman"/>
        <family val="1"/>
      </rPr>
      <t xml:space="preserve"> 5 Gal</t>
    </r>
  </si>
  <si>
    <r>
      <rPr>
        <b/>
        <sz val="12"/>
        <color theme="1"/>
        <rFont val="Times New Roman"/>
        <family val="1"/>
      </rPr>
      <t>Plan Tag:</t>
    </r>
    <r>
      <rPr>
        <sz val="12"/>
        <color theme="1"/>
        <rFont val="Times New Roman"/>
        <family val="1"/>
      </rPr>
      <t xml:space="preserve"> CH
</t>
    </r>
    <r>
      <rPr>
        <b/>
        <sz val="12"/>
        <color theme="1"/>
        <rFont val="Times New Roman"/>
        <family val="1"/>
      </rPr>
      <t xml:space="preserve">Botanical Name: </t>
    </r>
    <r>
      <rPr>
        <sz val="12"/>
        <color theme="1"/>
        <rFont val="Times New Roman"/>
        <family val="1"/>
      </rPr>
      <t xml:space="preserve">Clethra Alnifolia Hummingbird
</t>
    </r>
    <r>
      <rPr>
        <b/>
        <sz val="12"/>
        <color theme="1"/>
        <rFont val="Times New Roman"/>
        <family val="1"/>
      </rPr>
      <t>Common Name:</t>
    </r>
    <r>
      <rPr>
        <sz val="12"/>
        <color theme="1"/>
        <rFont val="Times New Roman"/>
        <family val="1"/>
      </rPr>
      <t xml:space="preserve"> Hummingbird Summer sweet
</t>
    </r>
    <r>
      <rPr>
        <b/>
        <sz val="12"/>
        <color theme="1"/>
        <rFont val="Times New Roman"/>
        <family val="1"/>
      </rPr>
      <t>Cont.:</t>
    </r>
    <r>
      <rPr>
        <sz val="12"/>
        <color theme="1"/>
        <rFont val="Times New Roman"/>
        <family val="1"/>
      </rPr>
      <t xml:space="preserve"> 5 Gal</t>
    </r>
  </si>
  <si>
    <r>
      <rPr>
        <b/>
        <sz val="12"/>
        <color theme="1"/>
        <rFont val="Times New Roman"/>
        <family val="1"/>
      </rPr>
      <t>Plan Tag:</t>
    </r>
    <r>
      <rPr>
        <sz val="12"/>
        <color theme="1"/>
        <rFont val="Times New Roman"/>
        <family val="1"/>
      </rPr>
      <t xml:space="preserve"> HQ
</t>
    </r>
    <r>
      <rPr>
        <b/>
        <sz val="12"/>
        <color theme="1"/>
        <rFont val="Times New Roman"/>
        <family val="1"/>
      </rPr>
      <t xml:space="preserve">Botanical Name: </t>
    </r>
    <r>
      <rPr>
        <sz val="12"/>
        <color theme="1"/>
        <rFont val="Times New Roman"/>
        <family val="1"/>
      </rPr>
      <t xml:space="preserve">Hydrangea Quercitol Ruby Slippers
</t>
    </r>
    <r>
      <rPr>
        <b/>
        <sz val="12"/>
        <color theme="1"/>
        <rFont val="Times New Roman"/>
        <family val="1"/>
      </rPr>
      <t>Common Name:</t>
    </r>
    <r>
      <rPr>
        <sz val="12"/>
        <color theme="1"/>
        <rFont val="Times New Roman"/>
        <family val="1"/>
      </rPr>
      <t xml:space="preserve"> Ruby Slippers Hydrangea
</t>
    </r>
    <r>
      <rPr>
        <b/>
        <sz val="12"/>
        <color theme="1"/>
        <rFont val="Times New Roman"/>
        <family val="1"/>
      </rPr>
      <t>Cont.:</t>
    </r>
    <r>
      <rPr>
        <sz val="12"/>
        <color theme="1"/>
        <rFont val="Times New Roman"/>
        <family val="1"/>
      </rPr>
      <t xml:space="preserve"> 5 Gal</t>
    </r>
  </si>
  <si>
    <r>
      <rPr>
        <b/>
        <sz val="12"/>
        <color theme="1"/>
        <rFont val="Times New Roman"/>
        <family val="1"/>
      </rPr>
      <t>Plan Tag:</t>
    </r>
    <r>
      <rPr>
        <sz val="12"/>
        <color theme="1"/>
        <rFont val="Times New Roman"/>
        <family val="1"/>
      </rPr>
      <t xml:space="preserve"> IG
</t>
    </r>
    <r>
      <rPr>
        <b/>
        <sz val="12"/>
        <color theme="1"/>
        <rFont val="Times New Roman"/>
        <family val="1"/>
      </rPr>
      <t xml:space="preserve">Botanical Name: </t>
    </r>
    <r>
      <rPr>
        <sz val="12"/>
        <color theme="1"/>
        <rFont val="Times New Roman"/>
        <family val="1"/>
      </rPr>
      <t xml:space="preserve">Ilex Glabra Shamrock
</t>
    </r>
    <r>
      <rPr>
        <b/>
        <sz val="12"/>
        <color theme="1"/>
        <rFont val="Times New Roman"/>
        <family val="1"/>
      </rPr>
      <t>Common Name:</t>
    </r>
    <r>
      <rPr>
        <sz val="12"/>
        <color theme="1"/>
        <rFont val="Times New Roman"/>
        <family val="1"/>
      </rPr>
      <t xml:space="preserve"> Shamrock Inkberry Holly
</t>
    </r>
    <r>
      <rPr>
        <b/>
        <sz val="12"/>
        <color theme="1"/>
        <rFont val="Times New Roman"/>
        <family val="1"/>
      </rPr>
      <t>Cont.:</t>
    </r>
    <r>
      <rPr>
        <sz val="12"/>
        <color theme="1"/>
        <rFont val="Times New Roman"/>
        <family val="1"/>
      </rPr>
      <t xml:space="preserve"> 5 Gal</t>
    </r>
  </si>
  <si>
    <t>GROUND COVERS</t>
  </si>
  <si>
    <r>
      <rPr>
        <b/>
        <sz val="12"/>
        <color theme="1"/>
        <rFont val="Times New Roman"/>
        <family val="1"/>
      </rPr>
      <t>Plan Tag:</t>
    </r>
    <r>
      <rPr>
        <sz val="12"/>
        <color theme="1"/>
        <rFont val="Times New Roman"/>
        <family val="1"/>
      </rPr>
      <t xml:space="preserve"> AT
</t>
    </r>
    <r>
      <rPr>
        <b/>
        <sz val="12"/>
        <color theme="1"/>
        <rFont val="Times New Roman"/>
        <family val="1"/>
      </rPr>
      <t xml:space="preserve">Botanical Name: </t>
    </r>
    <r>
      <rPr>
        <sz val="12"/>
        <color theme="1"/>
        <rFont val="Times New Roman"/>
        <family val="1"/>
      </rPr>
      <t xml:space="preserve">Amsonia Taberna Montana
</t>
    </r>
    <r>
      <rPr>
        <b/>
        <sz val="12"/>
        <color theme="1"/>
        <rFont val="Times New Roman"/>
        <family val="1"/>
      </rPr>
      <t>Common Name:</t>
    </r>
    <r>
      <rPr>
        <sz val="12"/>
        <color theme="1"/>
        <rFont val="Times New Roman"/>
        <family val="1"/>
      </rPr>
      <t xml:space="preserve"> Eastern Bluestar
</t>
    </r>
    <r>
      <rPr>
        <b/>
        <sz val="12"/>
        <color theme="1"/>
        <rFont val="Times New Roman"/>
        <family val="1"/>
      </rPr>
      <t>Cont.:</t>
    </r>
    <r>
      <rPr>
        <sz val="12"/>
        <color theme="1"/>
        <rFont val="Times New Roman"/>
        <family val="1"/>
      </rPr>
      <t xml:space="preserve"> 1 Gal
</t>
    </r>
    <r>
      <rPr>
        <b/>
        <sz val="12"/>
        <color theme="1"/>
        <rFont val="Times New Roman"/>
        <family val="1"/>
      </rPr>
      <t>Size:</t>
    </r>
    <r>
      <rPr>
        <sz val="12"/>
        <color theme="1"/>
        <rFont val="Times New Roman"/>
        <family val="1"/>
      </rPr>
      <t xml:space="preserve"> 24" O.C</t>
    </r>
  </si>
  <si>
    <r>
      <rPr>
        <b/>
        <sz val="12"/>
        <color theme="1"/>
        <rFont val="Times New Roman"/>
        <family val="1"/>
      </rPr>
      <t>Plan Tag:</t>
    </r>
    <r>
      <rPr>
        <sz val="12"/>
        <color theme="1"/>
        <rFont val="Times New Roman"/>
        <family val="1"/>
      </rPr>
      <t xml:space="preserve"> AS
</t>
    </r>
    <r>
      <rPr>
        <b/>
        <sz val="12"/>
        <color theme="1"/>
        <rFont val="Times New Roman"/>
        <family val="1"/>
      </rPr>
      <t xml:space="preserve">Botanical Name: </t>
    </r>
    <r>
      <rPr>
        <sz val="12"/>
        <color theme="1"/>
        <rFont val="Times New Roman"/>
        <family val="1"/>
      </rPr>
      <t xml:space="preserve">Asclepias Tuberosa
</t>
    </r>
    <r>
      <rPr>
        <b/>
        <sz val="12"/>
        <color theme="1"/>
        <rFont val="Times New Roman"/>
        <family val="1"/>
      </rPr>
      <t>Common Name:</t>
    </r>
    <r>
      <rPr>
        <sz val="12"/>
        <color theme="1"/>
        <rFont val="Times New Roman"/>
        <family val="1"/>
      </rPr>
      <t xml:space="preserve"> Butterfly Milkweed
</t>
    </r>
    <r>
      <rPr>
        <b/>
        <sz val="12"/>
        <color theme="1"/>
        <rFont val="Times New Roman"/>
        <family val="1"/>
      </rPr>
      <t>Cont.:</t>
    </r>
    <r>
      <rPr>
        <sz val="12"/>
        <color theme="1"/>
        <rFont val="Times New Roman"/>
        <family val="1"/>
      </rPr>
      <t xml:space="preserve"> 1 Gal
</t>
    </r>
    <r>
      <rPr>
        <b/>
        <sz val="12"/>
        <color theme="1"/>
        <rFont val="Times New Roman"/>
        <family val="1"/>
      </rPr>
      <t>Size:</t>
    </r>
    <r>
      <rPr>
        <sz val="12"/>
        <color theme="1"/>
        <rFont val="Times New Roman"/>
        <family val="1"/>
      </rPr>
      <t xml:space="preserve"> 18" O.C</t>
    </r>
  </si>
  <si>
    <r>
      <rPr>
        <b/>
        <sz val="12"/>
        <color theme="1"/>
        <rFont val="Times New Roman"/>
        <family val="1"/>
      </rPr>
      <t>Plan Tag:</t>
    </r>
    <r>
      <rPr>
        <sz val="12"/>
        <color theme="1"/>
        <rFont val="Times New Roman"/>
        <family val="1"/>
      </rPr>
      <t xml:space="preserve"> TS
</t>
    </r>
    <r>
      <rPr>
        <b/>
        <sz val="12"/>
        <color theme="1"/>
        <rFont val="Times New Roman"/>
        <family val="1"/>
      </rPr>
      <t xml:space="preserve">Botanical Name: </t>
    </r>
    <r>
      <rPr>
        <sz val="12"/>
        <color theme="1"/>
        <rFont val="Times New Roman"/>
        <family val="1"/>
      </rPr>
      <t xml:space="preserve">Turf SOD
</t>
    </r>
    <r>
      <rPr>
        <b/>
        <sz val="12"/>
        <color theme="1"/>
        <rFont val="Times New Roman"/>
        <family val="1"/>
      </rPr>
      <t>Common Name:</t>
    </r>
    <r>
      <rPr>
        <sz val="12"/>
        <color theme="1"/>
        <rFont val="Times New Roman"/>
        <family val="1"/>
      </rPr>
      <t xml:space="preserve"> Drought Tolerant Fescue Blend
</t>
    </r>
    <r>
      <rPr>
        <b/>
        <sz val="12"/>
        <color theme="1"/>
        <rFont val="Times New Roman"/>
        <family val="1"/>
      </rPr>
      <t>Cont.:</t>
    </r>
    <r>
      <rPr>
        <sz val="12"/>
        <color theme="1"/>
        <rFont val="Times New Roman"/>
        <family val="1"/>
      </rPr>
      <t xml:space="preserve"> SOD</t>
    </r>
  </si>
  <si>
    <t>MISC.</t>
  </si>
  <si>
    <t>7'-0" L x 10" W  Concrete Wheel Stop</t>
  </si>
  <si>
    <t>Keynote #1/CS-501</t>
  </si>
  <si>
    <t>(27 1/2" W x 32" H) Bicycle Rack
 - 1 5/8" Steel Tube, 1/4" Thick Mounting Plate &amp; 7/16" Mounting Holes</t>
  </si>
  <si>
    <t>Patch &amp; Repair Exterior Brick Veneer</t>
  </si>
  <si>
    <t>4" Thk 4000 PSI Concrete Slab (21 CY)
-1/8" : 12 Sloped From Center</t>
  </si>
  <si>
    <r>
      <t xml:space="preserve">12" Tall Skylight Metal Curb w/ Fasteners &amp; Seam Plate @ 12"O.C.
- Wasco Pre-Manufactured 
</t>
    </r>
    <r>
      <rPr>
        <sz val="12"/>
        <color rgb="FFFF0000"/>
        <rFont val="Times New Roman"/>
        <family val="1"/>
      </rPr>
      <t>Note: Approved Wood Curbs Can Also Be Used Instead</t>
    </r>
  </si>
  <si>
    <r>
      <t xml:space="preserve">14" Tall RTU Unit Metal Curb w/ Fasteners &amp; Seam Plate @ 12"O.C.
- Carrier: CRRFCURB003A01 
</t>
    </r>
    <r>
      <rPr>
        <sz val="12"/>
        <color rgb="FFFF0000"/>
        <rFont val="Times New Roman"/>
        <family val="1"/>
      </rPr>
      <t>Note: Approved Wood Curbs Can Also Be Used Instead</t>
    </r>
  </si>
  <si>
    <r>
      <t xml:space="preserve">8" Anchor-Tite Metal (Platinum) Fascia Cover System As:
- Anchor Gard Platinum Fascia Cover
- Extruded Anchor Gard Platinum Bar
- Anchor Gard S.S. Fasteners @ 12" O.C.
</t>
    </r>
    <r>
      <rPr>
        <sz val="12"/>
        <color rgb="FFFF0000"/>
        <rFont val="Times New Roman"/>
        <family val="1"/>
      </rPr>
      <t>Note: Break Metal Flashing Can Be Used As An Alternative</t>
    </r>
  </si>
  <si>
    <t>10"x0.75"x5" Quick seam Flashing @ 3' O.C. Along Walkway Pads</t>
  </si>
  <si>
    <t>Quick seam RPF Strip w/ Quick prime</t>
  </si>
  <si>
    <t>1'-8"x4'-4" Velux Dynamic Double Dome Skylight w/ Extruded Aluminum Sun wave Daylight Frame</t>
  </si>
  <si>
    <t>12'-7"x7'-4" Skylight @ Existing Roof Opening w/ Extruded Aluminum Sun wave Daylight Frame</t>
  </si>
  <si>
    <r>
      <rPr>
        <b/>
        <sz val="12"/>
        <color theme="1"/>
        <rFont val="Times New Roman"/>
        <family val="1"/>
      </rPr>
      <t xml:space="preserve">(Tag: CU1 &amp; CU2) </t>
    </r>
    <r>
      <rPr>
        <sz val="12"/>
        <color theme="1"/>
        <rFont val="Times New Roman"/>
        <family val="1"/>
      </rPr>
      <t>Outside Condensers Units
Size: 2'-0"x1'-9"
Mnf: Mitsubishi
Weight: 10 Ton
Model: PUHY-EP120TNU-A</t>
    </r>
  </si>
  <si>
    <t>Diversitech ULTRALITE Condenser Mounting Pad 
Size: 16"x36"x3"
Model: UC1636-3</t>
  </si>
  <si>
    <t>A129</t>
  </si>
  <si>
    <t>LINTEL PAINT:</t>
  </si>
  <si>
    <t>Paint @ Lintel at New Masonry Units</t>
  </si>
  <si>
    <r>
      <t xml:space="preserve">Ultra ply TPO 18" Curb Flashing @ Skylight
</t>
    </r>
    <r>
      <rPr>
        <sz val="12"/>
        <color rgb="FFFF0000"/>
        <rFont val="Times New Roman"/>
        <family val="1"/>
      </rPr>
      <t>Note: Assumed</t>
    </r>
  </si>
  <si>
    <t xml:space="preserve">Ultra ply TPO 18" Curb Flashing @ RTU Curb </t>
  </si>
  <si>
    <t>CAS Rockville Welcome Center, 14645 Rothgeb Drive Rockville, MD 20850</t>
  </si>
  <si>
    <t>Note: Ceiling In IT Work Room And Office Is Exposed To Structure According To Room Finishes Schedule, But In Rcp Plan, ACT Legend Is Shown. We Assumed Act Ceiling. Kindly VIF</t>
  </si>
  <si>
    <t xml:space="preserve">SEALANT </t>
  </si>
  <si>
    <t>FLEXIBLE FLASHING:</t>
  </si>
  <si>
    <t>WEATHER STRIPPING AND SEALS</t>
  </si>
  <si>
    <t>Cut Edge Sealant @ RTU Curb</t>
  </si>
  <si>
    <r>
      <t xml:space="preserve">Cut Edge Sealant @ Skylight
</t>
    </r>
    <r>
      <rPr>
        <sz val="12"/>
        <color rgb="FFFF0000"/>
        <rFont val="Times New Roman"/>
        <family val="1"/>
      </rPr>
      <t>Note: Assumed</t>
    </r>
  </si>
  <si>
    <t>18" L x 36" H x 24" D Trash Cabinet W/ Slide Out Door, Hardware and (2) Trash Bin</t>
  </si>
  <si>
    <t>36" L x 36" H x 24" D Sink Cabinet W/ Doors and Hardware</t>
  </si>
  <si>
    <t>METAL LADDERS</t>
  </si>
  <si>
    <t>THERMOPLASTIC-POLYOLEFIN ROOFING AS:</t>
  </si>
  <si>
    <t>ROOFTOP UNITS AS:</t>
  </si>
  <si>
    <t>CONDENSER UNITS AS:</t>
  </si>
  <si>
    <t>DUCTLESS SPLIT SYSTEM AS:</t>
  </si>
  <si>
    <r>
      <rPr>
        <b/>
        <sz val="12"/>
        <color theme="1"/>
        <rFont val="Times New Roman"/>
        <family val="1"/>
      </rPr>
      <t xml:space="preserve">Tag 8,9: </t>
    </r>
    <r>
      <rPr>
        <sz val="12"/>
        <color theme="1"/>
        <rFont val="Times New Roman"/>
        <family val="1"/>
      </rPr>
      <t xml:space="preserve">Remove Existing Masonry Retaining Wall (95 LF)
</t>
    </r>
    <r>
      <rPr>
        <sz val="12"/>
        <color rgb="FFFF0000"/>
        <rFont val="Times New Roman"/>
        <family val="1"/>
      </rPr>
      <t>Note: We Assumed Area According To The Plan Notes, (Site Information/GI-100), Please verify.</t>
    </r>
  </si>
  <si>
    <t>PLUMBING</t>
  </si>
  <si>
    <t>COLD WATER PIPE (ABOVE GRADE)</t>
  </si>
  <si>
    <t>Material</t>
  </si>
  <si>
    <t>Water Riser Diagram/ P001</t>
  </si>
  <si>
    <t>3/4" Cold Water Pipe</t>
  </si>
  <si>
    <t>1-1/2" Cold Water Pipe</t>
  </si>
  <si>
    <t>1/2" Cold Water Pipe</t>
  </si>
  <si>
    <t>1" Cold Water Pipe</t>
  </si>
  <si>
    <t>Insulation</t>
  </si>
  <si>
    <t>2018 IECC Code/ P101</t>
  </si>
  <si>
    <t>R3 Insulation @ Water Pipes</t>
  </si>
  <si>
    <t>COLD WATER PIPE FITTINGS</t>
  </si>
  <si>
    <t>ELBOW</t>
  </si>
  <si>
    <t>90 D Elbow</t>
  </si>
  <si>
    <t>TEE</t>
  </si>
  <si>
    <t xml:space="preserve">Tee </t>
  </si>
  <si>
    <t>HOT WATER PIPE (ABOVE GRADE)</t>
  </si>
  <si>
    <t>Plumbing Fixture Schedule/ P001</t>
  </si>
  <si>
    <t>1/2" Hot Water Pipe (6' H)</t>
  </si>
  <si>
    <t>SANITARY PIPE (ABOVE GRADE)</t>
  </si>
  <si>
    <t>Sanitary Riser/ P001</t>
  </si>
  <si>
    <t>4" Sanitary Pipe</t>
  </si>
  <si>
    <t>VENT PIPE (ABOVE GRADE)</t>
  </si>
  <si>
    <t>1-1/2" Vent Pipe</t>
  </si>
  <si>
    <t xml:space="preserve">3" Vent Pipe </t>
  </si>
  <si>
    <t>VENT PIPE FITTINGS</t>
  </si>
  <si>
    <t>Tee</t>
  </si>
  <si>
    <t>PLUMBING FIXTURES</t>
  </si>
  <si>
    <r>
      <rPr>
        <b/>
        <sz val="12"/>
        <color theme="1"/>
        <rFont val="Times New Roman"/>
        <family val="1"/>
      </rPr>
      <t>Tag HBO:</t>
    </r>
    <r>
      <rPr>
        <sz val="12"/>
        <color theme="1"/>
        <rFont val="Times New Roman"/>
        <family val="1"/>
      </rPr>
      <t xml:space="preserve"> Freezless Exterior Hose Bib
</t>
    </r>
    <r>
      <rPr>
        <b/>
        <sz val="12"/>
        <color theme="1"/>
        <rFont val="Times New Roman"/>
        <family val="1"/>
      </rPr>
      <t xml:space="preserve">Manufacturer: </t>
    </r>
    <r>
      <rPr>
        <sz val="12"/>
        <color theme="1"/>
        <rFont val="Times New Roman"/>
        <family val="1"/>
      </rPr>
      <t xml:space="preserve">WOODFORD
</t>
    </r>
    <r>
      <rPr>
        <b/>
        <sz val="12"/>
        <color theme="1"/>
        <rFont val="Times New Roman"/>
        <family val="1"/>
      </rPr>
      <t xml:space="preserve">Model: </t>
    </r>
    <r>
      <rPr>
        <sz val="12"/>
        <color theme="1"/>
        <rFont val="Times New Roman"/>
        <family val="1"/>
      </rPr>
      <t>Brass B65/65</t>
    </r>
  </si>
  <si>
    <r>
      <rPr>
        <b/>
        <sz val="12"/>
        <color theme="1"/>
        <rFont val="Times New Roman"/>
        <family val="1"/>
      </rPr>
      <t>Tag HBI:</t>
    </r>
    <r>
      <rPr>
        <sz val="12"/>
        <color theme="1"/>
        <rFont val="Times New Roman"/>
        <family val="1"/>
      </rPr>
      <t xml:space="preserve"> Internal Hose Bib
</t>
    </r>
    <r>
      <rPr>
        <b/>
        <sz val="12"/>
        <color theme="1"/>
        <rFont val="Times New Roman"/>
        <family val="1"/>
      </rPr>
      <t>Manufacturer:</t>
    </r>
    <r>
      <rPr>
        <sz val="12"/>
        <color theme="1"/>
        <rFont val="Times New Roman"/>
        <family val="1"/>
      </rPr>
      <t xml:space="preserve"> WOODFORD
</t>
    </r>
    <r>
      <rPr>
        <b/>
        <sz val="12"/>
        <color theme="1"/>
        <rFont val="Times New Roman"/>
        <family val="1"/>
      </rPr>
      <t>Model:</t>
    </r>
    <r>
      <rPr>
        <sz val="12"/>
        <color theme="1"/>
        <rFont val="Times New Roman"/>
        <family val="1"/>
      </rPr>
      <t xml:space="preserve"> Brass B65/65</t>
    </r>
  </si>
  <si>
    <r>
      <rPr>
        <b/>
        <sz val="12"/>
        <color theme="1"/>
        <rFont val="Times New Roman"/>
        <family val="1"/>
      </rPr>
      <t xml:space="preserve">Tag WF: </t>
    </r>
    <r>
      <rPr>
        <sz val="12"/>
        <color theme="1"/>
        <rFont val="Times New Roman"/>
        <family val="1"/>
      </rPr>
      <t xml:space="preserve">Water Fountain
</t>
    </r>
    <r>
      <rPr>
        <b/>
        <sz val="12"/>
        <color theme="1"/>
        <rFont val="Times New Roman"/>
        <family val="1"/>
      </rPr>
      <t xml:space="preserve">Manufacturer: </t>
    </r>
    <r>
      <rPr>
        <sz val="12"/>
        <color theme="1"/>
        <rFont val="Times New Roman"/>
        <family val="1"/>
      </rPr>
      <t xml:space="preserve">ELKAY 
</t>
    </r>
    <r>
      <rPr>
        <b/>
        <sz val="12"/>
        <color theme="1"/>
        <rFont val="Times New Roman"/>
        <family val="1"/>
      </rPr>
      <t>Model:</t>
    </r>
    <r>
      <rPr>
        <sz val="12"/>
        <color theme="1"/>
        <rFont val="Times New Roman"/>
        <family val="1"/>
      </rPr>
      <t xml:space="preserve"> LZSTLVR8SC</t>
    </r>
  </si>
  <si>
    <r>
      <rPr>
        <b/>
        <sz val="12"/>
        <color theme="1"/>
        <rFont val="Times New Roman"/>
        <family val="1"/>
      </rPr>
      <t xml:space="preserve">Tag FD: </t>
    </r>
    <r>
      <rPr>
        <sz val="12"/>
        <color theme="1"/>
        <rFont val="Times New Roman"/>
        <family val="1"/>
      </rPr>
      <t xml:space="preserve">Floor Drain
</t>
    </r>
    <r>
      <rPr>
        <b/>
        <sz val="12"/>
        <color theme="1"/>
        <rFont val="Times New Roman"/>
        <family val="1"/>
      </rPr>
      <t>Manufacturer:</t>
    </r>
    <r>
      <rPr>
        <sz val="12"/>
        <color theme="1"/>
        <rFont val="Times New Roman"/>
        <family val="1"/>
      </rPr>
      <t xml:space="preserve"> Zurn
</t>
    </r>
    <r>
      <rPr>
        <b/>
        <sz val="12"/>
        <color theme="1"/>
        <rFont val="Times New Roman"/>
        <family val="1"/>
      </rPr>
      <t>Catalog #:</t>
    </r>
    <r>
      <rPr>
        <sz val="12"/>
        <color theme="1"/>
        <rFont val="Times New Roman"/>
        <family val="1"/>
      </rPr>
      <t xml:space="preserve"> ZM415BS—P</t>
    </r>
  </si>
  <si>
    <t>WATER HEATER</t>
  </si>
  <si>
    <t>Instant Water Heater Schedule/ P001</t>
  </si>
  <si>
    <r>
      <rPr>
        <b/>
        <sz val="12"/>
        <color theme="1"/>
        <rFont val="Times New Roman"/>
        <family val="1"/>
      </rPr>
      <t xml:space="preserve">Tag IWH: </t>
    </r>
    <r>
      <rPr>
        <sz val="12"/>
        <color theme="1"/>
        <rFont val="Times New Roman"/>
        <family val="1"/>
      </rPr>
      <t xml:space="preserve">Instant Water Heater
</t>
    </r>
    <r>
      <rPr>
        <b/>
        <sz val="12"/>
        <color theme="1"/>
        <rFont val="Times New Roman"/>
        <family val="1"/>
      </rPr>
      <t>Manufacturer:</t>
    </r>
    <r>
      <rPr>
        <sz val="12"/>
        <color theme="1"/>
        <rFont val="Times New Roman"/>
        <family val="1"/>
      </rPr>
      <t xml:space="preserve"> EMAX
</t>
    </r>
    <r>
      <rPr>
        <b/>
        <sz val="12"/>
        <color theme="1"/>
        <rFont val="Times New Roman"/>
        <family val="1"/>
      </rPr>
      <t>Catalog #:</t>
    </r>
    <r>
      <rPr>
        <sz val="12"/>
        <color theme="1"/>
        <rFont val="Times New Roman"/>
        <family val="1"/>
      </rPr>
      <t xml:space="preserve"> SP4208</t>
    </r>
  </si>
  <si>
    <t>Wall Heater Schedule/ M001</t>
  </si>
  <si>
    <r>
      <rPr>
        <b/>
        <sz val="12"/>
        <color theme="1"/>
        <rFont val="Times New Roman"/>
        <family val="1"/>
      </rPr>
      <t>Tag WH-1:</t>
    </r>
    <r>
      <rPr>
        <sz val="12"/>
        <color theme="1"/>
        <rFont val="Times New Roman"/>
        <family val="1"/>
      </rPr>
      <t xml:space="preserve"> Wall Mounted Heater
</t>
    </r>
    <r>
      <rPr>
        <b/>
        <sz val="12"/>
        <color theme="1"/>
        <rFont val="Times New Roman"/>
        <family val="1"/>
      </rPr>
      <t xml:space="preserve">CFM: </t>
    </r>
    <r>
      <rPr>
        <sz val="12"/>
        <color theme="1"/>
        <rFont val="Times New Roman"/>
        <family val="1"/>
      </rPr>
      <t xml:space="preserve">65
</t>
    </r>
    <r>
      <rPr>
        <b/>
        <sz val="12"/>
        <color theme="1"/>
        <rFont val="Times New Roman"/>
        <family val="1"/>
      </rPr>
      <t xml:space="preserve">Manufacturer: </t>
    </r>
    <r>
      <rPr>
        <sz val="12"/>
        <color theme="1"/>
        <rFont val="Times New Roman"/>
        <family val="1"/>
      </rPr>
      <t xml:space="preserve">QMARK
</t>
    </r>
    <r>
      <rPr>
        <b/>
        <sz val="12"/>
        <color theme="1"/>
        <rFont val="Times New Roman"/>
        <family val="1"/>
      </rPr>
      <t>Catalog #:</t>
    </r>
    <r>
      <rPr>
        <sz val="12"/>
        <color theme="1"/>
        <rFont val="Times New Roman"/>
        <family val="1"/>
      </rPr>
      <t xml:space="preserve"> CHW1151DSF</t>
    </r>
  </si>
  <si>
    <t>MISCELLANEOUS</t>
  </si>
  <si>
    <t>CAP</t>
  </si>
  <si>
    <t>Cap @ Existing Floor Drain</t>
  </si>
  <si>
    <t>BACK FLOW PREVENTER</t>
  </si>
  <si>
    <t>Back Flow Preventer</t>
  </si>
  <si>
    <t>TRENCHING &amp; BACKFILLING</t>
  </si>
  <si>
    <t>2/A500</t>
  </si>
  <si>
    <r>
      <t xml:space="preserve">6-1/4" Wide Trench
</t>
    </r>
    <r>
      <rPr>
        <b/>
        <sz val="12"/>
        <color theme="1"/>
        <rFont val="Times New Roman"/>
        <family val="1"/>
      </rPr>
      <t xml:space="preserve">Manufacturer: </t>
    </r>
    <r>
      <rPr>
        <sz val="12"/>
        <color theme="1"/>
        <rFont val="Times New Roman"/>
        <family val="1"/>
      </rPr>
      <t>Zurn</t>
    </r>
  </si>
  <si>
    <t>DUCT</t>
  </si>
  <si>
    <t>Symbol/ M001</t>
  </si>
  <si>
    <t>Flexible Duct</t>
  </si>
  <si>
    <t>FLEXIBLE DUCT CONNECTOR</t>
  </si>
  <si>
    <t>Flexible Duct Connector (Assumed)</t>
  </si>
  <si>
    <t xml:space="preserve"> DIFFUSER</t>
  </si>
  <si>
    <t xml:space="preserve">SUPPLY DIFFUSER </t>
  </si>
  <si>
    <t>Sheet Note 3/ M101</t>
  </si>
  <si>
    <r>
      <rPr>
        <b/>
        <sz val="12"/>
        <color theme="1"/>
        <rFont val="Times New Roman"/>
        <family val="1"/>
      </rPr>
      <t xml:space="preserve">Tag 3: </t>
    </r>
    <r>
      <rPr>
        <sz val="12"/>
        <color theme="1"/>
        <rFont val="Times New Roman"/>
        <family val="1"/>
      </rPr>
      <t>12" x 18" Supply Diffuser @ ERV-1</t>
    </r>
  </si>
  <si>
    <r>
      <rPr>
        <b/>
        <sz val="12"/>
        <color theme="1"/>
        <rFont val="Times New Roman"/>
        <family val="1"/>
      </rPr>
      <t>Tag 3:</t>
    </r>
    <r>
      <rPr>
        <sz val="12"/>
        <color theme="1"/>
        <rFont val="Times New Roman"/>
        <family val="1"/>
      </rPr>
      <t xml:space="preserve"> 12" x 16" Supply Diffuser @ ERV-2 To ERV-5</t>
    </r>
  </si>
  <si>
    <t xml:space="preserve">CEILING DIFFUSER </t>
  </si>
  <si>
    <t>Air Distribution Device Schedule/ M101</t>
  </si>
  <si>
    <r>
      <t xml:space="preserve">Ceiling Diffuser
</t>
    </r>
    <r>
      <rPr>
        <b/>
        <sz val="12"/>
        <color theme="1"/>
        <rFont val="Times New Roman"/>
        <family val="1"/>
      </rPr>
      <t xml:space="preserve">CFM: </t>
    </r>
    <r>
      <rPr>
        <sz val="12"/>
        <color theme="1"/>
        <rFont val="Times New Roman"/>
        <family val="1"/>
      </rPr>
      <t xml:space="preserve">250
</t>
    </r>
    <r>
      <rPr>
        <b/>
        <sz val="12"/>
        <color theme="1"/>
        <rFont val="Times New Roman"/>
        <family val="1"/>
      </rPr>
      <t xml:space="preserve">Size: </t>
    </r>
    <r>
      <rPr>
        <sz val="12"/>
        <color theme="1"/>
        <rFont val="Times New Roman"/>
        <family val="1"/>
      </rPr>
      <t xml:space="preserve">24 x 24
</t>
    </r>
    <r>
      <rPr>
        <b/>
        <sz val="12"/>
        <color theme="1"/>
        <rFont val="Times New Roman"/>
        <family val="1"/>
      </rPr>
      <t>Model:</t>
    </r>
    <r>
      <rPr>
        <sz val="12"/>
        <color theme="1"/>
        <rFont val="Times New Roman"/>
        <family val="1"/>
      </rPr>
      <t xml:space="preserve"> TITUS TMS</t>
    </r>
  </si>
  <si>
    <r>
      <t xml:space="preserve">Ceiling Diffuser
</t>
    </r>
    <r>
      <rPr>
        <b/>
        <sz val="12"/>
        <color theme="1"/>
        <rFont val="Times New Roman"/>
        <family val="1"/>
      </rPr>
      <t>CFM:</t>
    </r>
    <r>
      <rPr>
        <sz val="12"/>
        <color theme="1"/>
        <rFont val="Times New Roman"/>
        <family val="1"/>
      </rPr>
      <t xml:space="preserve"> 350
</t>
    </r>
    <r>
      <rPr>
        <b/>
        <sz val="12"/>
        <color theme="1"/>
        <rFont val="Times New Roman"/>
        <family val="1"/>
      </rPr>
      <t>Size:</t>
    </r>
    <r>
      <rPr>
        <sz val="12"/>
        <color theme="1"/>
        <rFont val="Times New Roman"/>
        <family val="1"/>
      </rPr>
      <t xml:space="preserve"> 24 x 24
</t>
    </r>
    <r>
      <rPr>
        <b/>
        <sz val="12"/>
        <color theme="1"/>
        <rFont val="Times New Roman"/>
        <family val="1"/>
      </rPr>
      <t>Model:</t>
    </r>
    <r>
      <rPr>
        <sz val="12"/>
        <color theme="1"/>
        <rFont val="Times New Roman"/>
        <family val="1"/>
      </rPr>
      <t xml:space="preserve"> TITUS TMS</t>
    </r>
  </si>
  <si>
    <t xml:space="preserve">RETURN DIFFUSER </t>
  </si>
  <si>
    <r>
      <t xml:space="preserve">Return Diffuser
</t>
    </r>
    <r>
      <rPr>
        <b/>
        <sz val="12"/>
        <color theme="1"/>
        <rFont val="Times New Roman"/>
        <family val="1"/>
      </rPr>
      <t xml:space="preserve">CFM: </t>
    </r>
    <r>
      <rPr>
        <sz val="12"/>
        <color theme="1"/>
        <rFont val="Times New Roman"/>
        <family val="1"/>
      </rPr>
      <t xml:space="preserve">1500
</t>
    </r>
    <r>
      <rPr>
        <b/>
        <sz val="12"/>
        <color theme="1"/>
        <rFont val="Times New Roman"/>
        <family val="1"/>
      </rPr>
      <t>Size:</t>
    </r>
    <r>
      <rPr>
        <sz val="12"/>
        <color theme="1"/>
        <rFont val="Times New Roman"/>
        <family val="1"/>
      </rPr>
      <t xml:space="preserve"> 24 x 24
</t>
    </r>
    <r>
      <rPr>
        <b/>
        <sz val="12"/>
        <color theme="1"/>
        <rFont val="Times New Roman"/>
        <family val="1"/>
      </rPr>
      <t xml:space="preserve">Model: </t>
    </r>
    <r>
      <rPr>
        <sz val="12"/>
        <color theme="1"/>
        <rFont val="Times New Roman"/>
        <family val="1"/>
      </rPr>
      <t>TITUS PXP</t>
    </r>
  </si>
  <si>
    <r>
      <t xml:space="preserve">Return Grille W/ Front Blade
</t>
    </r>
    <r>
      <rPr>
        <b/>
        <sz val="12"/>
        <color theme="1"/>
        <rFont val="Times New Roman"/>
        <family val="1"/>
      </rPr>
      <t xml:space="preserve">CFM: </t>
    </r>
    <r>
      <rPr>
        <sz val="12"/>
        <color theme="1"/>
        <rFont val="Times New Roman"/>
        <family val="1"/>
      </rPr>
      <t xml:space="preserve">1500
</t>
    </r>
    <r>
      <rPr>
        <b/>
        <sz val="12"/>
        <color theme="1"/>
        <rFont val="Times New Roman"/>
        <family val="1"/>
      </rPr>
      <t>Size:</t>
    </r>
    <r>
      <rPr>
        <sz val="12"/>
        <color theme="1"/>
        <rFont val="Times New Roman"/>
        <family val="1"/>
      </rPr>
      <t xml:space="preserve"> 24 x 24
</t>
    </r>
    <r>
      <rPr>
        <b/>
        <sz val="12"/>
        <color theme="1"/>
        <rFont val="Times New Roman"/>
        <family val="1"/>
      </rPr>
      <t>Model:</t>
    </r>
    <r>
      <rPr>
        <sz val="12"/>
        <color theme="1"/>
        <rFont val="Times New Roman"/>
        <family val="1"/>
      </rPr>
      <t xml:space="preserve"> TITUS 300/350-steel-HD</t>
    </r>
  </si>
  <si>
    <t>DUCT  DIFFUSER</t>
  </si>
  <si>
    <t xml:space="preserve">DUCT MOUNTED DIFFUSER </t>
  </si>
  <si>
    <r>
      <t xml:space="preserve">Duct Mounted Diffuser
</t>
    </r>
    <r>
      <rPr>
        <b/>
        <sz val="12"/>
        <color theme="1"/>
        <rFont val="Times New Roman"/>
        <family val="1"/>
      </rPr>
      <t>CFM:</t>
    </r>
    <r>
      <rPr>
        <sz val="12"/>
        <color theme="1"/>
        <rFont val="Times New Roman"/>
        <family val="1"/>
      </rPr>
      <t xml:space="preserve"> 200</t>
    </r>
  </si>
  <si>
    <r>
      <t xml:space="preserve">Duct Mounted Diffuser
</t>
    </r>
    <r>
      <rPr>
        <b/>
        <sz val="12"/>
        <color theme="1"/>
        <rFont val="Times New Roman"/>
        <family val="1"/>
      </rPr>
      <t>CFM:</t>
    </r>
    <r>
      <rPr>
        <sz val="12"/>
        <color theme="1"/>
        <rFont val="Times New Roman"/>
        <family val="1"/>
      </rPr>
      <t xml:space="preserve"> 250</t>
    </r>
  </si>
  <si>
    <r>
      <t xml:space="preserve">Duct Mounted Diffuser
</t>
    </r>
    <r>
      <rPr>
        <b/>
        <sz val="12"/>
        <color theme="1"/>
        <rFont val="Times New Roman"/>
        <family val="1"/>
      </rPr>
      <t>CFM:</t>
    </r>
    <r>
      <rPr>
        <sz val="12"/>
        <color theme="1"/>
        <rFont val="Times New Roman"/>
        <family val="1"/>
      </rPr>
      <t xml:space="preserve"> 600</t>
    </r>
  </si>
  <si>
    <t xml:space="preserve">RETURN DUCT DIFFUSER </t>
  </si>
  <si>
    <t>Duct Mounted Return Diffuser</t>
  </si>
  <si>
    <r>
      <t xml:space="preserve">Duct Mounted Return Diffuser
</t>
    </r>
    <r>
      <rPr>
        <b/>
        <sz val="12"/>
        <color theme="1"/>
        <rFont val="Times New Roman"/>
        <family val="1"/>
      </rPr>
      <t>CFM:</t>
    </r>
    <r>
      <rPr>
        <sz val="12"/>
        <color theme="1"/>
        <rFont val="Times New Roman"/>
        <family val="1"/>
      </rPr>
      <t xml:space="preserve"> 200 </t>
    </r>
  </si>
  <si>
    <r>
      <t xml:space="preserve">Duct Mounted Return Diffuser
</t>
    </r>
    <r>
      <rPr>
        <b/>
        <sz val="12"/>
        <color theme="1"/>
        <rFont val="Times New Roman"/>
        <family val="1"/>
      </rPr>
      <t xml:space="preserve">CFM: </t>
    </r>
    <r>
      <rPr>
        <sz val="12"/>
        <color theme="1"/>
        <rFont val="Times New Roman"/>
        <family val="1"/>
      </rPr>
      <t>250</t>
    </r>
  </si>
  <si>
    <t>VARIABLE REFRIGERANT FLOW</t>
  </si>
  <si>
    <t>VRF Schedule/ M001</t>
  </si>
  <si>
    <t xml:space="preserve">VARIABLE REFRIGERANT DUCT </t>
  </si>
  <si>
    <t>Sheet No 6/ M101</t>
  </si>
  <si>
    <r>
      <rPr>
        <b/>
        <sz val="12"/>
        <color theme="1"/>
        <rFont val="Times New Roman"/>
        <family val="1"/>
      </rPr>
      <t>Tag 6:</t>
    </r>
    <r>
      <rPr>
        <sz val="12"/>
        <color theme="1"/>
        <rFont val="Times New Roman"/>
        <family val="1"/>
      </rPr>
      <t xml:space="preserve"> VRF Ducts</t>
    </r>
  </si>
  <si>
    <t xml:space="preserve">LOUVERS </t>
  </si>
  <si>
    <t>Sheet Note1/ M101</t>
  </si>
  <si>
    <r>
      <rPr>
        <b/>
        <sz val="12"/>
        <color theme="1"/>
        <rFont val="Times New Roman"/>
        <family val="1"/>
      </rPr>
      <t>Tag 1:</t>
    </r>
    <r>
      <rPr>
        <sz val="12"/>
        <color theme="1"/>
        <rFont val="Times New Roman"/>
        <family val="1"/>
      </rPr>
      <t xml:space="preserve"> 12" x 16"  Louver @ ERV-1
</t>
    </r>
    <r>
      <rPr>
        <b/>
        <sz val="12"/>
        <color theme="1"/>
        <rFont val="Times New Roman"/>
        <family val="1"/>
      </rPr>
      <t>Finish:</t>
    </r>
    <r>
      <rPr>
        <sz val="12"/>
        <color theme="1"/>
        <rFont val="Times New Roman"/>
        <family val="1"/>
      </rPr>
      <t xml:space="preserve"> AMAA 2605
</t>
    </r>
    <r>
      <rPr>
        <b/>
        <sz val="12"/>
        <color theme="1"/>
        <rFont val="Times New Roman"/>
        <family val="1"/>
      </rPr>
      <t xml:space="preserve">Bird Screen: </t>
    </r>
    <r>
      <rPr>
        <sz val="12"/>
        <color theme="1"/>
        <rFont val="Times New Roman"/>
        <family val="1"/>
      </rPr>
      <t xml:space="preserve">0.75" x 0.05" 
</t>
    </r>
    <r>
      <rPr>
        <b/>
        <sz val="12"/>
        <color theme="1"/>
        <rFont val="Times New Roman"/>
        <family val="1"/>
      </rPr>
      <t>Coating Type:</t>
    </r>
    <r>
      <rPr>
        <sz val="12"/>
        <color theme="1"/>
        <rFont val="Times New Roman"/>
        <family val="1"/>
      </rPr>
      <t xml:space="preserve"> 2Ct 70% Kynar/ 100% Fluoropolymer
</t>
    </r>
    <r>
      <rPr>
        <b/>
        <sz val="12"/>
        <color theme="1"/>
        <rFont val="Times New Roman"/>
        <family val="1"/>
      </rPr>
      <t xml:space="preserve">Color: </t>
    </r>
    <r>
      <rPr>
        <sz val="12"/>
        <color theme="1"/>
        <rFont val="Times New Roman"/>
        <family val="1"/>
      </rPr>
      <t>Standard TBS</t>
    </r>
  </si>
  <si>
    <r>
      <rPr>
        <b/>
        <sz val="12"/>
        <color theme="1"/>
        <rFont val="Times New Roman"/>
        <family val="1"/>
      </rPr>
      <t xml:space="preserve">Tag 1: </t>
    </r>
    <r>
      <rPr>
        <sz val="12"/>
        <color theme="1"/>
        <rFont val="Times New Roman"/>
        <family val="1"/>
      </rPr>
      <t xml:space="preserve">12" x 14"  Louver @ ERV-2
</t>
    </r>
    <r>
      <rPr>
        <b/>
        <sz val="12"/>
        <color theme="1"/>
        <rFont val="Times New Roman"/>
        <family val="1"/>
      </rPr>
      <t>Finish:</t>
    </r>
    <r>
      <rPr>
        <sz val="12"/>
        <color theme="1"/>
        <rFont val="Times New Roman"/>
        <family val="1"/>
      </rPr>
      <t xml:space="preserve"> AMAA 2605
</t>
    </r>
    <r>
      <rPr>
        <b/>
        <sz val="12"/>
        <color theme="1"/>
        <rFont val="Times New Roman"/>
        <family val="1"/>
      </rPr>
      <t xml:space="preserve">Bird Screen: </t>
    </r>
    <r>
      <rPr>
        <sz val="12"/>
        <color theme="1"/>
        <rFont val="Times New Roman"/>
        <family val="1"/>
      </rPr>
      <t xml:space="preserve">0.75" x 0.05" 
</t>
    </r>
    <r>
      <rPr>
        <b/>
        <sz val="12"/>
        <color theme="1"/>
        <rFont val="Times New Roman"/>
        <family val="1"/>
      </rPr>
      <t xml:space="preserve">Coating Type: </t>
    </r>
    <r>
      <rPr>
        <sz val="12"/>
        <color theme="1"/>
        <rFont val="Times New Roman"/>
        <family val="1"/>
      </rPr>
      <t xml:space="preserve">2Ct 70% Kynar/ 100% Fluoropolymer
</t>
    </r>
    <r>
      <rPr>
        <b/>
        <sz val="12"/>
        <color theme="1"/>
        <rFont val="Times New Roman"/>
        <family val="1"/>
      </rPr>
      <t>Color:</t>
    </r>
    <r>
      <rPr>
        <sz val="12"/>
        <color theme="1"/>
        <rFont val="Times New Roman"/>
        <family val="1"/>
      </rPr>
      <t xml:space="preserve"> Standard TBS</t>
    </r>
  </si>
  <si>
    <r>
      <rPr>
        <b/>
        <sz val="12"/>
        <color theme="1"/>
        <rFont val="Times New Roman"/>
        <family val="1"/>
      </rPr>
      <t xml:space="preserve">Tag 1: </t>
    </r>
    <r>
      <rPr>
        <sz val="12"/>
        <color theme="1"/>
        <rFont val="Times New Roman"/>
        <family val="1"/>
      </rPr>
      <t xml:space="preserve">12" x 14"  Louver @ ERV-3
</t>
    </r>
    <r>
      <rPr>
        <b/>
        <sz val="12"/>
        <color theme="1"/>
        <rFont val="Times New Roman"/>
        <family val="1"/>
      </rPr>
      <t>Finish:</t>
    </r>
    <r>
      <rPr>
        <sz val="12"/>
        <color theme="1"/>
        <rFont val="Times New Roman"/>
        <family val="1"/>
      </rPr>
      <t xml:space="preserve"> AMAA 2605
</t>
    </r>
    <r>
      <rPr>
        <b/>
        <sz val="12"/>
        <color theme="1"/>
        <rFont val="Times New Roman"/>
        <family val="1"/>
      </rPr>
      <t xml:space="preserve">Bird Screen: </t>
    </r>
    <r>
      <rPr>
        <sz val="12"/>
        <color theme="1"/>
        <rFont val="Times New Roman"/>
        <family val="1"/>
      </rPr>
      <t xml:space="preserve">0.75" x 0.05" 
</t>
    </r>
    <r>
      <rPr>
        <b/>
        <sz val="12"/>
        <color theme="1"/>
        <rFont val="Times New Roman"/>
        <family val="1"/>
      </rPr>
      <t xml:space="preserve">Coating Type: </t>
    </r>
    <r>
      <rPr>
        <sz val="12"/>
        <color theme="1"/>
        <rFont val="Times New Roman"/>
        <family val="1"/>
      </rPr>
      <t xml:space="preserve">2Ct 70% Kynar/ 100% Fluoropolymer
</t>
    </r>
    <r>
      <rPr>
        <b/>
        <sz val="12"/>
        <color theme="1"/>
        <rFont val="Times New Roman"/>
        <family val="1"/>
      </rPr>
      <t>Color:</t>
    </r>
    <r>
      <rPr>
        <sz val="12"/>
        <color theme="1"/>
        <rFont val="Times New Roman"/>
        <family val="1"/>
      </rPr>
      <t xml:space="preserve"> Standard TBS</t>
    </r>
  </si>
  <si>
    <r>
      <rPr>
        <b/>
        <sz val="12"/>
        <color theme="1"/>
        <rFont val="Times New Roman"/>
        <family val="1"/>
      </rPr>
      <t xml:space="preserve">Tag 1: </t>
    </r>
    <r>
      <rPr>
        <sz val="12"/>
        <color theme="1"/>
        <rFont val="Times New Roman"/>
        <family val="1"/>
      </rPr>
      <t xml:space="preserve">12" x 14"  Louver @ ERV-4
</t>
    </r>
    <r>
      <rPr>
        <b/>
        <sz val="12"/>
        <color theme="1"/>
        <rFont val="Times New Roman"/>
        <family val="1"/>
      </rPr>
      <t>Finish:</t>
    </r>
    <r>
      <rPr>
        <sz val="12"/>
        <color theme="1"/>
        <rFont val="Times New Roman"/>
        <family val="1"/>
      </rPr>
      <t xml:space="preserve"> AMAA 2605
</t>
    </r>
    <r>
      <rPr>
        <b/>
        <sz val="12"/>
        <color theme="1"/>
        <rFont val="Times New Roman"/>
        <family val="1"/>
      </rPr>
      <t xml:space="preserve">Bird Screen: </t>
    </r>
    <r>
      <rPr>
        <sz val="12"/>
        <color theme="1"/>
        <rFont val="Times New Roman"/>
        <family val="1"/>
      </rPr>
      <t xml:space="preserve">0.75" x 0.05" 
</t>
    </r>
    <r>
      <rPr>
        <b/>
        <sz val="12"/>
        <color theme="1"/>
        <rFont val="Times New Roman"/>
        <family val="1"/>
      </rPr>
      <t xml:space="preserve">Coating Type: </t>
    </r>
    <r>
      <rPr>
        <sz val="12"/>
        <color theme="1"/>
        <rFont val="Times New Roman"/>
        <family val="1"/>
      </rPr>
      <t xml:space="preserve">2Ct 70% Kynar/ 100% Fluoropolymer
</t>
    </r>
    <r>
      <rPr>
        <b/>
        <sz val="12"/>
        <color theme="1"/>
        <rFont val="Times New Roman"/>
        <family val="1"/>
      </rPr>
      <t>Color:</t>
    </r>
    <r>
      <rPr>
        <sz val="12"/>
        <color theme="1"/>
        <rFont val="Times New Roman"/>
        <family val="1"/>
      </rPr>
      <t xml:space="preserve"> Standard TBS</t>
    </r>
  </si>
  <si>
    <r>
      <rPr>
        <b/>
        <sz val="12"/>
        <color theme="1"/>
        <rFont val="Times New Roman"/>
        <family val="1"/>
      </rPr>
      <t xml:space="preserve">Tag 1: </t>
    </r>
    <r>
      <rPr>
        <sz val="12"/>
        <color theme="1"/>
        <rFont val="Times New Roman"/>
        <family val="1"/>
      </rPr>
      <t xml:space="preserve">12" x 14"  Louver @ ERV-5
</t>
    </r>
    <r>
      <rPr>
        <b/>
        <sz val="12"/>
        <color theme="1"/>
        <rFont val="Times New Roman"/>
        <family val="1"/>
      </rPr>
      <t>Finish:</t>
    </r>
    <r>
      <rPr>
        <sz val="12"/>
        <color theme="1"/>
        <rFont val="Times New Roman"/>
        <family val="1"/>
      </rPr>
      <t xml:space="preserve"> AMAA 2605
</t>
    </r>
    <r>
      <rPr>
        <b/>
        <sz val="12"/>
        <color theme="1"/>
        <rFont val="Times New Roman"/>
        <family val="1"/>
      </rPr>
      <t xml:space="preserve">Bird Screen: </t>
    </r>
    <r>
      <rPr>
        <sz val="12"/>
        <color theme="1"/>
        <rFont val="Times New Roman"/>
        <family val="1"/>
      </rPr>
      <t xml:space="preserve">0.75" x 0.05" 
</t>
    </r>
    <r>
      <rPr>
        <b/>
        <sz val="12"/>
        <color theme="1"/>
        <rFont val="Times New Roman"/>
        <family val="1"/>
      </rPr>
      <t xml:space="preserve">Coating Type: </t>
    </r>
    <r>
      <rPr>
        <sz val="12"/>
        <color theme="1"/>
        <rFont val="Times New Roman"/>
        <family val="1"/>
      </rPr>
      <t xml:space="preserve">2Ct 70% Kynar/ 100% Fluoropolymer
</t>
    </r>
    <r>
      <rPr>
        <b/>
        <sz val="12"/>
        <color theme="1"/>
        <rFont val="Times New Roman"/>
        <family val="1"/>
      </rPr>
      <t>Color:</t>
    </r>
    <r>
      <rPr>
        <sz val="12"/>
        <color theme="1"/>
        <rFont val="Times New Roman"/>
        <family val="1"/>
      </rPr>
      <t xml:space="preserve"> Standard TBS</t>
    </r>
  </si>
  <si>
    <t>AIR DEVICES</t>
  </si>
  <si>
    <t>RFI NO: TB 005</t>
  </si>
  <si>
    <t>DAMPERS</t>
  </si>
  <si>
    <t>Opposed Blade Volume Damper @ Supply Diffuser</t>
  </si>
  <si>
    <t>ENERGY RECOVERY VENTILATOR</t>
  </si>
  <si>
    <t>Energy Recovery Ventilator</t>
  </si>
  <si>
    <r>
      <rPr>
        <b/>
        <sz val="12"/>
        <color theme="1"/>
        <rFont val="Times New Roman"/>
        <family val="1"/>
      </rPr>
      <t>Tag ERV-1:</t>
    </r>
    <r>
      <rPr>
        <sz val="12"/>
        <color theme="1"/>
        <rFont val="Times New Roman"/>
        <family val="1"/>
      </rPr>
      <t xml:space="preserve"> Energy Recovery Ventilator
</t>
    </r>
    <r>
      <rPr>
        <b/>
        <sz val="12"/>
        <color theme="1"/>
        <rFont val="Times New Roman"/>
        <family val="1"/>
      </rPr>
      <t>Size:</t>
    </r>
    <r>
      <rPr>
        <sz val="12"/>
        <color theme="1"/>
        <rFont val="Times New Roman"/>
        <family val="1"/>
      </rPr>
      <t xml:space="preserve"> 62" L x 44" W x 22" H
</t>
    </r>
    <r>
      <rPr>
        <b/>
        <sz val="12"/>
        <color theme="1"/>
        <rFont val="Times New Roman"/>
        <family val="1"/>
      </rPr>
      <t xml:space="preserve">CFM: </t>
    </r>
    <r>
      <rPr>
        <sz val="12"/>
        <color theme="1"/>
        <rFont val="Times New Roman"/>
        <family val="1"/>
      </rPr>
      <t xml:space="preserve">456
</t>
    </r>
    <r>
      <rPr>
        <b/>
        <sz val="12"/>
        <color theme="1"/>
        <rFont val="Times New Roman"/>
        <family val="1"/>
      </rPr>
      <t>Manufacturer:</t>
    </r>
    <r>
      <rPr>
        <sz val="12"/>
        <color theme="1"/>
        <rFont val="Times New Roman"/>
        <family val="1"/>
      </rPr>
      <t xml:space="preserve"> Renewaire 
</t>
    </r>
    <r>
      <rPr>
        <b/>
        <sz val="12"/>
        <color theme="1"/>
        <rFont val="Times New Roman"/>
        <family val="1"/>
      </rPr>
      <t xml:space="preserve">Catalog Number: </t>
    </r>
    <r>
      <rPr>
        <sz val="12"/>
        <color theme="1"/>
        <rFont val="Times New Roman"/>
        <family val="1"/>
      </rPr>
      <t>EV450IN</t>
    </r>
  </si>
  <si>
    <r>
      <rPr>
        <b/>
        <sz val="12"/>
        <color theme="1"/>
        <rFont val="Times New Roman"/>
        <family val="1"/>
      </rPr>
      <t>Tag ERV-2:</t>
    </r>
    <r>
      <rPr>
        <sz val="12"/>
        <color theme="1"/>
        <rFont val="Times New Roman"/>
        <family val="1"/>
      </rPr>
      <t xml:space="preserve"> Energy Recovery Ventilator
</t>
    </r>
    <r>
      <rPr>
        <b/>
        <sz val="12"/>
        <color theme="1"/>
        <rFont val="Times New Roman"/>
        <family val="1"/>
      </rPr>
      <t>Size:</t>
    </r>
    <r>
      <rPr>
        <sz val="12"/>
        <color theme="1"/>
        <rFont val="Times New Roman"/>
        <family val="1"/>
      </rPr>
      <t xml:space="preserve"> 62" L x 44" W x 22" H
</t>
    </r>
    <r>
      <rPr>
        <b/>
        <sz val="12"/>
        <color theme="1"/>
        <rFont val="Times New Roman"/>
        <family val="1"/>
      </rPr>
      <t>CFM:</t>
    </r>
    <r>
      <rPr>
        <sz val="12"/>
        <color theme="1"/>
        <rFont val="Times New Roman"/>
        <family val="1"/>
      </rPr>
      <t xml:space="preserve"> 375
</t>
    </r>
    <r>
      <rPr>
        <b/>
        <sz val="12"/>
        <color theme="1"/>
        <rFont val="Times New Roman"/>
        <family val="1"/>
      </rPr>
      <t>Manufacturer:</t>
    </r>
    <r>
      <rPr>
        <sz val="12"/>
        <color theme="1"/>
        <rFont val="Times New Roman"/>
        <family val="1"/>
      </rPr>
      <t xml:space="preserve"> Renewaire 
</t>
    </r>
    <r>
      <rPr>
        <b/>
        <sz val="12"/>
        <color theme="1"/>
        <rFont val="Times New Roman"/>
        <family val="1"/>
      </rPr>
      <t xml:space="preserve">Catalog Number: </t>
    </r>
    <r>
      <rPr>
        <sz val="12"/>
        <color theme="1"/>
        <rFont val="Times New Roman"/>
        <family val="1"/>
      </rPr>
      <t>EV450IN</t>
    </r>
  </si>
  <si>
    <r>
      <rPr>
        <b/>
        <sz val="12"/>
        <color theme="1"/>
        <rFont val="Times New Roman"/>
        <family val="1"/>
      </rPr>
      <t>Tag ERV-3:</t>
    </r>
    <r>
      <rPr>
        <sz val="12"/>
        <color theme="1"/>
        <rFont val="Times New Roman"/>
        <family val="1"/>
      </rPr>
      <t xml:space="preserve"> Energy Recovery Ventilator
</t>
    </r>
    <r>
      <rPr>
        <b/>
        <sz val="12"/>
        <color theme="1"/>
        <rFont val="Times New Roman"/>
        <family val="1"/>
      </rPr>
      <t>Size:</t>
    </r>
    <r>
      <rPr>
        <sz val="12"/>
        <color theme="1"/>
        <rFont val="Times New Roman"/>
        <family val="1"/>
      </rPr>
      <t xml:space="preserve"> 62" L x 44" W x 22" H
</t>
    </r>
    <r>
      <rPr>
        <b/>
        <sz val="12"/>
        <color theme="1"/>
        <rFont val="Times New Roman"/>
        <family val="1"/>
      </rPr>
      <t>CFM:</t>
    </r>
    <r>
      <rPr>
        <sz val="12"/>
        <color theme="1"/>
        <rFont val="Times New Roman"/>
        <family val="1"/>
      </rPr>
      <t xml:space="preserve"> 375
</t>
    </r>
    <r>
      <rPr>
        <b/>
        <sz val="12"/>
        <color theme="1"/>
        <rFont val="Times New Roman"/>
        <family val="1"/>
      </rPr>
      <t>Manufacturer:</t>
    </r>
    <r>
      <rPr>
        <sz val="12"/>
        <color theme="1"/>
        <rFont val="Times New Roman"/>
        <family val="1"/>
      </rPr>
      <t xml:space="preserve"> Renewaire 
</t>
    </r>
    <r>
      <rPr>
        <b/>
        <sz val="12"/>
        <color theme="1"/>
        <rFont val="Times New Roman"/>
        <family val="1"/>
      </rPr>
      <t xml:space="preserve">Catalog Number: </t>
    </r>
    <r>
      <rPr>
        <sz val="12"/>
        <color theme="1"/>
        <rFont val="Times New Roman"/>
        <family val="1"/>
      </rPr>
      <t>EV450IN</t>
    </r>
  </si>
  <si>
    <r>
      <rPr>
        <b/>
        <sz val="12"/>
        <color theme="1"/>
        <rFont val="Times New Roman"/>
        <family val="1"/>
      </rPr>
      <t>Tag ERV-4:</t>
    </r>
    <r>
      <rPr>
        <sz val="12"/>
        <color theme="1"/>
        <rFont val="Times New Roman"/>
        <family val="1"/>
      </rPr>
      <t xml:space="preserve"> Energy Recovery Ventilator
</t>
    </r>
    <r>
      <rPr>
        <b/>
        <sz val="12"/>
        <color theme="1"/>
        <rFont val="Times New Roman"/>
        <family val="1"/>
      </rPr>
      <t>Size:</t>
    </r>
    <r>
      <rPr>
        <sz val="12"/>
        <color theme="1"/>
        <rFont val="Times New Roman"/>
        <family val="1"/>
      </rPr>
      <t xml:space="preserve"> 62" L x 44" W x 22" H
</t>
    </r>
    <r>
      <rPr>
        <b/>
        <sz val="12"/>
        <color theme="1"/>
        <rFont val="Times New Roman"/>
        <family val="1"/>
      </rPr>
      <t>CFM:</t>
    </r>
    <r>
      <rPr>
        <sz val="12"/>
        <color theme="1"/>
        <rFont val="Times New Roman"/>
        <family val="1"/>
      </rPr>
      <t xml:space="preserve"> 375
</t>
    </r>
    <r>
      <rPr>
        <b/>
        <sz val="12"/>
        <color theme="1"/>
        <rFont val="Times New Roman"/>
        <family val="1"/>
      </rPr>
      <t>Manufacturer:</t>
    </r>
    <r>
      <rPr>
        <sz val="12"/>
        <color theme="1"/>
        <rFont val="Times New Roman"/>
        <family val="1"/>
      </rPr>
      <t xml:space="preserve"> Renewaire 
</t>
    </r>
    <r>
      <rPr>
        <b/>
        <sz val="12"/>
        <color theme="1"/>
        <rFont val="Times New Roman"/>
        <family val="1"/>
      </rPr>
      <t xml:space="preserve">Catalog Number: </t>
    </r>
    <r>
      <rPr>
        <sz val="12"/>
        <color theme="1"/>
        <rFont val="Times New Roman"/>
        <family val="1"/>
      </rPr>
      <t>EV450IN</t>
    </r>
  </si>
  <si>
    <r>
      <rPr>
        <b/>
        <sz val="12"/>
        <color theme="1"/>
        <rFont val="Times New Roman"/>
        <family val="1"/>
      </rPr>
      <t>Tag ERV-5:</t>
    </r>
    <r>
      <rPr>
        <sz val="12"/>
        <color theme="1"/>
        <rFont val="Times New Roman"/>
        <family val="1"/>
      </rPr>
      <t xml:space="preserve"> Energy Recovery Ventilator
</t>
    </r>
    <r>
      <rPr>
        <b/>
        <sz val="12"/>
        <color theme="1"/>
        <rFont val="Times New Roman"/>
        <family val="1"/>
      </rPr>
      <t>Size:</t>
    </r>
    <r>
      <rPr>
        <sz val="12"/>
        <color theme="1"/>
        <rFont val="Times New Roman"/>
        <family val="1"/>
      </rPr>
      <t xml:space="preserve"> 62" L x 44" W x 22" H
</t>
    </r>
    <r>
      <rPr>
        <b/>
        <sz val="12"/>
        <color theme="1"/>
        <rFont val="Times New Roman"/>
        <family val="1"/>
      </rPr>
      <t>CFM:</t>
    </r>
    <r>
      <rPr>
        <sz val="12"/>
        <color theme="1"/>
        <rFont val="Times New Roman"/>
        <family val="1"/>
      </rPr>
      <t xml:space="preserve"> 375
</t>
    </r>
    <r>
      <rPr>
        <b/>
        <sz val="12"/>
        <color theme="1"/>
        <rFont val="Times New Roman"/>
        <family val="1"/>
      </rPr>
      <t>Manufacturer:</t>
    </r>
    <r>
      <rPr>
        <sz val="12"/>
        <color theme="1"/>
        <rFont val="Times New Roman"/>
        <family val="1"/>
      </rPr>
      <t xml:space="preserve"> Renewaire 
</t>
    </r>
    <r>
      <rPr>
        <b/>
        <sz val="12"/>
        <color theme="1"/>
        <rFont val="Times New Roman"/>
        <family val="1"/>
      </rPr>
      <t xml:space="preserve">Catalog Number: </t>
    </r>
    <r>
      <rPr>
        <sz val="12"/>
        <color theme="1"/>
        <rFont val="Times New Roman"/>
        <family val="1"/>
      </rPr>
      <t>EV450IN</t>
    </r>
  </si>
  <si>
    <t>STOP VALVE</t>
  </si>
  <si>
    <t>Stop Valve</t>
  </si>
  <si>
    <t>PRIME TRAP</t>
  </si>
  <si>
    <t>P-Trap</t>
  </si>
  <si>
    <t>THERMOSTAT</t>
  </si>
  <si>
    <t>Thermostat</t>
  </si>
  <si>
    <t>ELECTRICAL</t>
  </si>
  <si>
    <t>DISTRIBUTION</t>
  </si>
  <si>
    <t>WIRING</t>
  </si>
  <si>
    <t>E102</t>
  </si>
  <si>
    <t>Allowance For Wiring &amp; Conduits (7100)</t>
  </si>
  <si>
    <t>PANEL</t>
  </si>
  <si>
    <t>E501</t>
  </si>
  <si>
    <t>Panel Schedule/ E501</t>
  </si>
  <si>
    <r>
      <rPr>
        <b/>
        <sz val="12"/>
        <color theme="1"/>
        <rFont val="Times New Roman"/>
        <family val="1"/>
      </rPr>
      <t>Tag A:</t>
    </r>
    <r>
      <rPr>
        <sz val="12"/>
        <color theme="1"/>
        <rFont val="Times New Roman"/>
        <family val="1"/>
      </rPr>
      <t xml:space="preserve"> Panel (3 Phase &amp; 4 Wires)
</t>
    </r>
    <r>
      <rPr>
        <b/>
        <sz val="12"/>
        <color theme="1"/>
        <rFont val="Times New Roman"/>
        <family val="1"/>
      </rPr>
      <t>Voltage:</t>
    </r>
    <r>
      <rPr>
        <sz val="12"/>
        <color theme="1"/>
        <rFont val="Times New Roman"/>
        <family val="1"/>
      </rPr>
      <t xml:space="preserve"> 120/208V
</t>
    </r>
    <r>
      <rPr>
        <b/>
        <sz val="12"/>
        <color theme="1"/>
        <rFont val="Times New Roman"/>
        <family val="1"/>
      </rPr>
      <t>Bus Size:</t>
    </r>
    <r>
      <rPr>
        <sz val="12"/>
        <color theme="1"/>
        <rFont val="Times New Roman"/>
        <family val="1"/>
      </rPr>
      <t xml:space="preserve"> 200A
</t>
    </r>
    <r>
      <rPr>
        <b/>
        <sz val="12"/>
        <color theme="1"/>
        <rFont val="Times New Roman"/>
        <family val="1"/>
      </rPr>
      <t>Main:</t>
    </r>
    <r>
      <rPr>
        <sz val="12"/>
        <color theme="1"/>
        <rFont val="Times New Roman"/>
        <family val="1"/>
      </rPr>
      <t xml:space="preserve"> MLO
</t>
    </r>
    <r>
      <rPr>
        <b/>
        <sz val="12"/>
        <color theme="1"/>
        <rFont val="Times New Roman"/>
        <family val="1"/>
      </rPr>
      <t>Poles:</t>
    </r>
    <r>
      <rPr>
        <sz val="12"/>
        <color theme="1"/>
        <rFont val="Times New Roman"/>
        <family val="1"/>
      </rPr>
      <t xml:space="preserve"> 42</t>
    </r>
  </si>
  <si>
    <r>
      <rPr>
        <b/>
        <sz val="12"/>
        <color theme="1"/>
        <rFont val="Times New Roman"/>
        <family val="1"/>
      </rPr>
      <t xml:space="preserve">Tag B: </t>
    </r>
    <r>
      <rPr>
        <sz val="12"/>
        <color theme="1"/>
        <rFont val="Times New Roman"/>
        <family val="1"/>
      </rPr>
      <t xml:space="preserve">Panel (3 Phase &amp; 4 Wires)
</t>
    </r>
    <r>
      <rPr>
        <b/>
        <sz val="12"/>
        <color theme="1"/>
        <rFont val="Times New Roman"/>
        <family val="1"/>
      </rPr>
      <t>Voltage:</t>
    </r>
    <r>
      <rPr>
        <sz val="12"/>
        <color theme="1"/>
        <rFont val="Times New Roman"/>
        <family val="1"/>
      </rPr>
      <t xml:space="preserve"> 120/208V
</t>
    </r>
    <r>
      <rPr>
        <b/>
        <sz val="12"/>
        <color theme="1"/>
        <rFont val="Times New Roman"/>
        <family val="1"/>
      </rPr>
      <t xml:space="preserve">Bus Size: </t>
    </r>
    <r>
      <rPr>
        <sz val="12"/>
        <color theme="1"/>
        <rFont val="Times New Roman"/>
        <family val="1"/>
      </rPr>
      <t xml:space="preserve">400A
</t>
    </r>
    <r>
      <rPr>
        <b/>
        <sz val="12"/>
        <color theme="1"/>
        <rFont val="Times New Roman"/>
        <family val="1"/>
      </rPr>
      <t xml:space="preserve">Main: </t>
    </r>
    <r>
      <rPr>
        <sz val="12"/>
        <color theme="1"/>
        <rFont val="Times New Roman"/>
        <family val="1"/>
      </rPr>
      <t xml:space="preserve">MLO
</t>
    </r>
    <r>
      <rPr>
        <b/>
        <sz val="12"/>
        <color theme="1"/>
        <rFont val="Times New Roman"/>
        <family val="1"/>
      </rPr>
      <t>Poles:</t>
    </r>
    <r>
      <rPr>
        <sz val="12"/>
        <color theme="1"/>
        <rFont val="Times New Roman"/>
        <family val="1"/>
      </rPr>
      <t xml:space="preserve"> 42</t>
    </r>
  </si>
  <si>
    <r>
      <rPr>
        <b/>
        <sz val="12"/>
        <color theme="1"/>
        <rFont val="Times New Roman"/>
        <family val="1"/>
      </rPr>
      <t xml:space="preserve">Tag C: </t>
    </r>
    <r>
      <rPr>
        <sz val="12"/>
        <color theme="1"/>
        <rFont val="Times New Roman"/>
        <family val="1"/>
      </rPr>
      <t xml:space="preserve">Panel (3 Phase &amp; 4 Wires)
</t>
    </r>
    <r>
      <rPr>
        <b/>
        <sz val="12"/>
        <color theme="1"/>
        <rFont val="Times New Roman"/>
        <family val="1"/>
      </rPr>
      <t>Voltage:</t>
    </r>
    <r>
      <rPr>
        <sz val="12"/>
        <color theme="1"/>
        <rFont val="Times New Roman"/>
        <family val="1"/>
      </rPr>
      <t xml:space="preserve"> 120/208V
</t>
    </r>
    <r>
      <rPr>
        <b/>
        <sz val="12"/>
        <color theme="1"/>
        <rFont val="Times New Roman"/>
        <family val="1"/>
      </rPr>
      <t>Bus Size:</t>
    </r>
    <r>
      <rPr>
        <sz val="12"/>
        <color theme="1"/>
        <rFont val="Times New Roman"/>
        <family val="1"/>
      </rPr>
      <t xml:space="preserve"> 100A
</t>
    </r>
    <r>
      <rPr>
        <b/>
        <sz val="12"/>
        <color theme="1"/>
        <rFont val="Times New Roman"/>
        <family val="1"/>
      </rPr>
      <t xml:space="preserve">Main: </t>
    </r>
    <r>
      <rPr>
        <sz val="12"/>
        <color theme="1"/>
        <rFont val="Times New Roman"/>
        <family val="1"/>
      </rPr>
      <t xml:space="preserve">MLO
</t>
    </r>
    <r>
      <rPr>
        <b/>
        <sz val="12"/>
        <color theme="1"/>
        <rFont val="Times New Roman"/>
        <family val="1"/>
      </rPr>
      <t>Poles:</t>
    </r>
    <r>
      <rPr>
        <sz val="12"/>
        <color theme="1"/>
        <rFont val="Times New Roman"/>
        <family val="1"/>
      </rPr>
      <t xml:space="preserve"> 42
</t>
    </r>
    <r>
      <rPr>
        <sz val="12"/>
        <color rgb="FFFF0000"/>
        <rFont val="Times New Roman"/>
        <family val="1"/>
      </rPr>
      <t>Note: Provide panel with metal pocket and use existing feeder to connect the panel.</t>
    </r>
  </si>
  <si>
    <r>
      <rPr>
        <b/>
        <sz val="12"/>
        <color theme="1"/>
        <rFont val="Times New Roman"/>
        <family val="1"/>
      </rPr>
      <t>Tag D:</t>
    </r>
    <r>
      <rPr>
        <sz val="12"/>
        <color theme="1"/>
        <rFont val="Times New Roman"/>
        <family val="1"/>
      </rPr>
      <t xml:space="preserve"> Panel (1 Phase &amp; 3 Wires)
</t>
    </r>
    <r>
      <rPr>
        <b/>
        <sz val="12"/>
        <color theme="1"/>
        <rFont val="Times New Roman"/>
        <family val="1"/>
      </rPr>
      <t>Voltage:</t>
    </r>
    <r>
      <rPr>
        <sz val="12"/>
        <color theme="1"/>
        <rFont val="Times New Roman"/>
        <family val="1"/>
      </rPr>
      <t xml:space="preserve"> 120/240V
</t>
    </r>
    <r>
      <rPr>
        <b/>
        <sz val="12"/>
        <color theme="1"/>
        <rFont val="Times New Roman"/>
        <family val="1"/>
      </rPr>
      <t xml:space="preserve">Bus Size: </t>
    </r>
    <r>
      <rPr>
        <sz val="12"/>
        <color theme="1"/>
        <rFont val="Times New Roman"/>
        <family val="1"/>
      </rPr>
      <t xml:space="preserve">100A
</t>
    </r>
    <r>
      <rPr>
        <b/>
        <sz val="12"/>
        <color theme="1"/>
        <rFont val="Times New Roman"/>
        <family val="1"/>
      </rPr>
      <t>Main:</t>
    </r>
    <r>
      <rPr>
        <sz val="12"/>
        <color theme="1"/>
        <rFont val="Times New Roman"/>
        <family val="1"/>
      </rPr>
      <t xml:space="preserve"> 80A MCB
</t>
    </r>
    <r>
      <rPr>
        <b/>
        <sz val="12"/>
        <color theme="1"/>
        <rFont val="Times New Roman"/>
        <family val="1"/>
      </rPr>
      <t>Poles:</t>
    </r>
    <r>
      <rPr>
        <sz val="12"/>
        <color theme="1"/>
        <rFont val="Times New Roman"/>
        <family val="1"/>
      </rPr>
      <t xml:space="preserve"> 42</t>
    </r>
  </si>
  <si>
    <t>DISCONNECT SWITCH</t>
  </si>
  <si>
    <t>Symbol/ E001</t>
  </si>
  <si>
    <t xml:space="preserve">Heavy Duty Disconnect Switch  </t>
  </si>
  <si>
    <t>GROUNDING</t>
  </si>
  <si>
    <t>POWER</t>
  </si>
  <si>
    <t>DEVICE</t>
  </si>
  <si>
    <t>Symbols/ E001</t>
  </si>
  <si>
    <t>Ceiling Mounted Duplex Receptacle</t>
  </si>
  <si>
    <t>Ceiling Mounted Duplex Receptacle (Tamper Resistance)</t>
  </si>
  <si>
    <t>Water Proof Duplex Receptacle</t>
  </si>
  <si>
    <t>Water Proof Duplex Receptacle (Tamper Resistance)</t>
  </si>
  <si>
    <t>Duplex Receptacle</t>
  </si>
  <si>
    <t>Quadruplex Receptacle</t>
  </si>
  <si>
    <t>Note: All receptacle wiring shall be in galvanized steel conduit</t>
  </si>
  <si>
    <t>LIGHTING</t>
  </si>
  <si>
    <t>INTERIOR LIGHTING FIXTURES</t>
  </si>
  <si>
    <t>E101</t>
  </si>
  <si>
    <t>Light Fixture Schedule / E001</t>
  </si>
  <si>
    <r>
      <rPr>
        <b/>
        <sz val="12"/>
        <color theme="1"/>
        <rFont val="Times New Roman"/>
        <family val="1"/>
      </rPr>
      <t xml:space="preserve">Tag A: </t>
    </r>
    <r>
      <rPr>
        <sz val="12"/>
        <color theme="1"/>
        <rFont val="Times New Roman"/>
        <family val="1"/>
      </rPr>
      <t xml:space="preserve">2'x2' Recessed Light
</t>
    </r>
    <r>
      <rPr>
        <b/>
        <sz val="12"/>
        <color theme="1"/>
        <rFont val="Times New Roman"/>
        <family val="1"/>
      </rPr>
      <t>Manufacturer:</t>
    </r>
    <r>
      <rPr>
        <sz val="12"/>
        <color theme="1"/>
        <rFont val="Times New Roman"/>
        <family val="1"/>
      </rPr>
      <t xml:space="preserve"> Day-Brite 
</t>
    </r>
    <r>
      <rPr>
        <b/>
        <sz val="12"/>
        <color theme="1"/>
        <rFont val="Times New Roman"/>
        <family val="1"/>
      </rPr>
      <t xml:space="preserve">Catalog No: </t>
    </r>
    <r>
      <rPr>
        <sz val="12"/>
        <color theme="1"/>
        <rFont val="Times New Roman"/>
        <family val="1"/>
      </rPr>
      <t>2FGG45L840-2-D-UNV-DIM</t>
    </r>
  </si>
  <si>
    <r>
      <rPr>
        <b/>
        <sz val="12"/>
        <color theme="1"/>
        <rFont val="Times New Roman"/>
        <family val="1"/>
      </rPr>
      <t>Tag A1:</t>
    </r>
    <r>
      <rPr>
        <sz val="12"/>
        <color theme="1"/>
        <rFont val="Times New Roman"/>
        <family val="1"/>
      </rPr>
      <t xml:space="preserve"> 2'x2' Recessed Light W/ Integral Sensor
</t>
    </r>
    <r>
      <rPr>
        <b/>
        <sz val="12"/>
        <color theme="1"/>
        <rFont val="Times New Roman"/>
        <family val="1"/>
      </rPr>
      <t>Manufacturer:</t>
    </r>
    <r>
      <rPr>
        <sz val="12"/>
        <color theme="1"/>
        <rFont val="Times New Roman"/>
        <family val="1"/>
      </rPr>
      <t xml:space="preserve"> Day-Brite 
</t>
    </r>
    <r>
      <rPr>
        <b/>
        <sz val="12"/>
        <color theme="1"/>
        <rFont val="Times New Roman"/>
        <family val="1"/>
      </rPr>
      <t xml:space="preserve">Catalog No: </t>
    </r>
    <r>
      <rPr>
        <sz val="12"/>
        <color theme="1"/>
        <rFont val="Times New Roman"/>
        <family val="1"/>
      </rPr>
      <t xml:space="preserve">2FGG45L840-2-D-UNV-DIM
</t>
    </r>
    <r>
      <rPr>
        <b/>
        <sz val="12"/>
        <color theme="1"/>
        <rFont val="Times New Roman"/>
        <family val="1"/>
      </rPr>
      <t xml:space="preserve">Note: </t>
    </r>
  </si>
  <si>
    <r>
      <rPr>
        <b/>
        <sz val="12"/>
        <color theme="1"/>
        <rFont val="Times New Roman"/>
        <family val="1"/>
      </rPr>
      <t xml:space="preserve">Tag D: </t>
    </r>
    <r>
      <rPr>
        <sz val="12"/>
        <color theme="1"/>
        <rFont val="Times New Roman"/>
        <family val="1"/>
      </rPr>
      <t xml:space="preserve">4' Pendent
</t>
    </r>
    <r>
      <rPr>
        <b/>
        <sz val="12"/>
        <color theme="1"/>
        <rFont val="Times New Roman"/>
        <family val="1"/>
      </rPr>
      <t xml:space="preserve">Manufacturer: </t>
    </r>
    <r>
      <rPr>
        <sz val="12"/>
        <color theme="1"/>
        <rFont val="Times New Roman"/>
        <family val="1"/>
      </rPr>
      <t xml:space="preserve">Finelite
</t>
    </r>
    <r>
      <rPr>
        <b/>
        <sz val="12"/>
        <color theme="1"/>
        <rFont val="Times New Roman"/>
        <family val="1"/>
      </rPr>
      <t>Catalog #:</t>
    </r>
    <r>
      <rPr>
        <sz val="12"/>
        <color theme="1"/>
        <rFont val="Times New Roman"/>
        <family val="1"/>
      </rPr>
      <t xml:space="preserve"> S16-LED-ID DCO 4' 2E V 940 10U90D 90CRI</t>
    </r>
  </si>
  <si>
    <r>
      <rPr>
        <b/>
        <sz val="12"/>
        <color theme="1"/>
        <rFont val="Times New Roman"/>
        <family val="1"/>
      </rPr>
      <t>Tag D1:</t>
    </r>
    <r>
      <rPr>
        <sz val="12"/>
        <color theme="1"/>
        <rFont val="Times New Roman"/>
        <family val="1"/>
      </rPr>
      <t xml:space="preserve"> 4' Pendent W/ Integrated Sensor
</t>
    </r>
    <r>
      <rPr>
        <b/>
        <sz val="12"/>
        <color theme="1"/>
        <rFont val="Times New Roman"/>
        <family val="1"/>
      </rPr>
      <t>Manufacturer:</t>
    </r>
    <r>
      <rPr>
        <sz val="12"/>
        <color theme="1"/>
        <rFont val="Times New Roman"/>
        <family val="1"/>
      </rPr>
      <t xml:space="preserve"> Finelite
</t>
    </r>
    <r>
      <rPr>
        <b/>
        <sz val="12"/>
        <color theme="1"/>
        <rFont val="Times New Roman"/>
        <family val="1"/>
      </rPr>
      <t>Catalog #:</t>
    </r>
    <r>
      <rPr>
        <sz val="12"/>
        <color theme="1"/>
        <rFont val="Times New Roman"/>
        <family val="1"/>
      </rPr>
      <t xml:space="preserve"> S16-LED-ID DCO 4' 2E V 940 10U90D 90CRI</t>
    </r>
  </si>
  <si>
    <r>
      <rPr>
        <b/>
        <sz val="12"/>
        <color theme="1"/>
        <rFont val="Times New Roman"/>
        <family val="1"/>
      </rPr>
      <t>Tag F1:</t>
    </r>
    <r>
      <rPr>
        <sz val="12"/>
        <color theme="1"/>
        <rFont val="Times New Roman"/>
        <family val="1"/>
      </rPr>
      <t xml:space="preserve"> Down Light surface
</t>
    </r>
    <r>
      <rPr>
        <b/>
        <sz val="12"/>
        <color theme="1"/>
        <rFont val="Times New Roman"/>
        <family val="1"/>
      </rPr>
      <t>Manufacturer:</t>
    </r>
    <r>
      <rPr>
        <sz val="12"/>
        <color theme="1"/>
        <rFont val="Times New Roman"/>
        <family val="1"/>
      </rPr>
      <t xml:space="preserve"> Juno
</t>
    </r>
    <r>
      <rPr>
        <b/>
        <sz val="12"/>
        <color theme="1"/>
        <rFont val="Times New Roman"/>
        <family val="1"/>
      </rPr>
      <t xml:space="preserve">Catalog #: </t>
    </r>
    <r>
      <rPr>
        <sz val="12"/>
        <color theme="1"/>
        <rFont val="Times New Roman"/>
        <family val="1"/>
      </rPr>
      <t>JSF Series 40K 90 CRI 11IN WH W/ Emergency Battery Pack</t>
    </r>
  </si>
  <si>
    <r>
      <rPr>
        <b/>
        <sz val="12"/>
        <color theme="1"/>
        <rFont val="Times New Roman"/>
        <family val="1"/>
      </rPr>
      <t>Tag B1:</t>
    </r>
    <r>
      <rPr>
        <sz val="12"/>
        <color theme="1"/>
        <rFont val="Times New Roman"/>
        <family val="1"/>
      </rPr>
      <t xml:space="preserve"> Down Light W/ Emergency Battery Pack
</t>
    </r>
    <r>
      <rPr>
        <b/>
        <sz val="12"/>
        <color theme="1"/>
        <rFont val="Times New Roman"/>
        <family val="1"/>
      </rPr>
      <t>Manufacturer:</t>
    </r>
    <r>
      <rPr>
        <sz val="12"/>
        <color theme="1"/>
        <rFont val="Times New Roman"/>
        <family val="1"/>
      </rPr>
      <t xml:space="preserve"> Lithonia 
</t>
    </r>
    <r>
      <rPr>
        <b/>
        <sz val="12"/>
        <color theme="1"/>
        <rFont val="Times New Roman"/>
        <family val="1"/>
      </rPr>
      <t>Catalog #:</t>
    </r>
    <r>
      <rPr>
        <sz val="12"/>
        <color theme="1"/>
        <rFont val="Times New Roman"/>
        <family val="1"/>
      </rPr>
      <t xml:space="preserve"> LDN6 35 10 LO6 AR LS GZ10 ELSD 80CRI </t>
    </r>
  </si>
  <si>
    <r>
      <rPr>
        <b/>
        <sz val="12"/>
        <color theme="1"/>
        <rFont val="Times New Roman"/>
        <family val="1"/>
      </rPr>
      <t>Tag F:</t>
    </r>
    <r>
      <rPr>
        <sz val="12"/>
        <color theme="1"/>
        <rFont val="Times New Roman"/>
        <family val="1"/>
      </rPr>
      <t xml:space="preserve"> Down Light 
</t>
    </r>
    <r>
      <rPr>
        <b/>
        <sz val="12"/>
        <color theme="1"/>
        <rFont val="Times New Roman"/>
        <family val="1"/>
      </rPr>
      <t>Manufacturer:</t>
    </r>
    <r>
      <rPr>
        <sz val="12"/>
        <color theme="1"/>
        <rFont val="Times New Roman"/>
        <family val="1"/>
      </rPr>
      <t xml:space="preserve"> Juno
</t>
    </r>
    <r>
      <rPr>
        <b/>
        <sz val="12"/>
        <color theme="1"/>
        <rFont val="Times New Roman"/>
        <family val="1"/>
      </rPr>
      <t>Catalog #:</t>
    </r>
    <r>
      <rPr>
        <sz val="12"/>
        <color theme="1"/>
        <rFont val="Times New Roman"/>
        <family val="1"/>
      </rPr>
      <t xml:space="preserve"> JSF Series 40k 90 CRI 11IN WH</t>
    </r>
  </si>
  <si>
    <r>
      <rPr>
        <b/>
        <sz val="12"/>
        <color theme="1"/>
        <rFont val="Times New Roman"/>
        <family val="1"/>
      </rPr>
      <t>Tag G:</t>
    </r>
    <r>
      <rPr>
        <sz val="12"/>
        <color theme="1"/>
        <rFont val="Times New Roman"/>
        <family val="1"/>
      </rPr>
      <t xml:space="preserve"> LED Fixture
</t>
    </r>
    <r>
      <rPr>
        <b/>
        <sz val="12"/>
        <color theme="1"/>
        <rFont val="Times New Roman"/>
        <family val="1"/>
      </rPr>
      <t>Manufacturer:</t>
    </r>
    <r>
      <rPr>
        <sz val="12"/>
        <color theme="1"/>
        <rFont val="Times New Roman"/>
        <family val="1"/>
      </rPr>
      <t xml:space="preserve"> Lithonia
</t>
    </r>
    <r>
      <rPr>
        <b/>
        <sz val="12"/>
        <color theme="1"/>
        <rFont val="Times New Roman"/>
        <family val="1"/>
      </rPr>
      <t xml:space="preserve">Catalog #: </t>
    </r>
    <r>
      <rPr>
        <sz val="12"/>
        <color theme="1"/>
        <rFont val="Times New Roman"/>
        <family val="1"/>
      </rPr>
      <t>FMVCCL-24IN-BN</t>
    </r>
  </si>
  <si>
    <t>EXTERIOR LIGHTING FIXTURES</t>
  </si>
  <si>
    <t>Exterior Lighting Fixture/ E001</t>
  </si>
  <si>
    <r>
      <rPr>
        <b/>
        <sz val="12"/>
        <color theme="1"/>
        <rFont val="Times New Roman"/>
        <family val="1"/>
      </rPr>
      <t xml:space="preserve">Tag J: </t>
    </r>
    <r>
      <rPr>
        <sz val="12"/>
        <color theme="1"/>
        <rFont val="Times New Roman"/>
        <family val="1"/>
      </rPr>
      <t xml:space="preserve">Exterior Light Fixture W/ Emergency Battery Pack &amp; Photo Cell Control
</t>
    </r>
    <r>
      <rPr>
        <b/>
        <sz val="12"/>
        <color theme="1"/>
        <rFont val="Times New Roman"/>
        <family val="1"/>
      </rPr>
      <t xml:space="preserve">Manufacturer: </t>
    </r>
    <r>
      <rPr>
        <sz val="12"/>
        <color theme="1"/>
        <rFont val="Times New Roman"/>
        <family val="1"/>
      </rPr>
      <t xml:space="preserve">Lithonia
</t>
    </r>
    <r>
      <rPr>
        <b/>
        <sz val="12"/>
        <color theme="1"/>
        <rFont val="Times New Roman"/>
        <family val="1"/>
      </rPr>
      <t>Catalog #:</t>
    </r>
    <r>
      <rPr>
        <sz val="12"/>
        <color theme="1"/>
        <rFont val="Times New Roman"/>
        <family val="1"/>
      </rPr>
      <t xml:space="preserve"> WSTLED P2 40KVF WG PE E20WC PIR1FC3V DDBXD</t>
    </r>
  </si>
  <si>
    <r>
      <rPr>
        <b/>
        <sz val="12"/>
        <color theme="1"/>
        <rFont val="Times New Roman"/>
        <family val="1"/>
      </rPr>
      <t xml:space="preserve">Tag K: </t>
    </r>
    <r>
      <rPr>
        <sz val="12"/>
        <color theme="1"/>
        <rFont val="Times New Roman"/>
        <family val="1"/>
      </rPr>
      <t>Wall Pack</t>
    </r>
    <r>
      <rPr>
        <b/>
        <sz val="12"/>
        <color theme="1"/>
        <rFont val="Times New Roman"/>
        <family val="1"/>
      </rPr>
      <t xml:space="preserve"> </t>
    </r>
    <r>
      <rPr>
        <sz val="12"/>
        <color theme="1"/>
        <rFont val="Times New Roman"/>
        <family val="1"/>
      </rPr>
      <t xml:space="preserve">Exterior Light W/ Photo Cell Control
</t>
    </r>
    <r>
      <rPr>
        <b/>
        <sz val="12"/>
        <color theme="1"/>
        <rFont val="Times New Roman"/>
        <family val="1"/>
      </rPr>
      <t>Manufacturer:</t>
    </r>
    <r>
      <rPr>
        <sz val="12"/>
        <color theme="1"/>
        <rFont val="Times New Roman"/>
        <family val="1"/>
      </rPr>
      <t xml:space="preserve"> Lithonia
</t>
    </r>
    <r>
      <rPr>
        <b/>
        <sz val="12"/>
        <color theme="1"/>
        <rFont val="Times New Roman"/>
        <family val="1"/>
      </rPr>
      <t xml:space="preserve">Catalog #: </t>
    </r>
    <r>
      <rPr>
        <sz val="12"/>
        <color theme="1"/>
        <rFont val="Times New Roman"/>
        <family val="1"/>
      </rPr>
      <t>WSTLED P2 40K VW WG PE PIR1FC3V DDBXD</t>
    </r>
  </si>
  <si>
    <t>LIGHTING CONTROL</t>
  </si>
  <si>
    <t>3 Way Light Switch W/ Back Box</t>
  </si>
  <si>
    <t>Single Pole Light Switch W/ Back Box</t>
  </si>
  <si>
    <t>Manual Motor Starter</t>
  </si>
  <si>
    <r>
      <t xml:space="preserve">Light Control Device
</t>
    </r>
    <r>
      <rPr>
        <b/>
        <sz val="12"/>
        <color theme="1"/>
        <rFont val="Times New Roman"/>
        <family val="1"/>
      </rPr>
      <t>Manufacturer:</t>
    </r>
    <r>
      <rPr>
        <sz val="12"/>
        <color theme="1"/>
        <rFont val="Times New Roman"/>
        <family val="1"/>
      </rPr>
      <t xml:space="preserve"> Tork
</t>
    </r>
    <r>
      <rPr>
        <b/>
        <sz val="12"/>
        <color theme="1"/>
        <rFont val="Times New Roman"/>
        <family val="1"/>
      </rPr>
      <t>Model:</t>
    </r>
    <r>
      <rPr>
        <sz val="12"/>
        <color theme="1"/>
        <rFont val="Times New Roman"/>
        <family val="1"/>
      </rPr>
      <t xml:space="preserve"> COS-L2T SERIES
</t>
    </r>
    <r>
      <rPr>
        <sz val="12"/>
        <color rgb="FFFF0000"/>
        <rFont val="Times New Roman"/>
        <family val="1"/>
      </rPr>
      <t>Note: Submitted the light control installation process in the form of shop drawing for approval. Include all costs in bid.</t>
    </r>
  </si>
  <si>
    <r>
      <rPr>
        <b/>
        <sz val="12"/>
        <color theme="1"/>
        <rFont val="Times New Roman"/>
        <family val="1"/>
      </rPr>
      <t>Tag T:</t>
    </r>
    <r>
      <rPr>
        <sz val="12"/>
        <color theme="1"/>
        <rFont val="Times New Roman"/>
        <family val="1"/>
      </rPr>
      <t xml:space="preserve"> 6-Hour Interval Timer
</t>
    </r>
    <r>
      <rPr>
        <b/>
        <sz val="12"/>
        <color theme="1"/>
        <rFont val="Times New Roman"/>
        <family val="1"/>
      </rPr>
      <t>Manufacturer:</t>
    </r>
    <r>
      <rPr>
        <sz val="12"/>
        <color theme="1"/>
        <rFont val="Times New Roman"/>
        <family val="1"/>
      </rPr>
      <t xml:space="preserve"> Intermatic
</t>
    </r>
    <r>
      <rPr>
        <b/>
        <sz val="12"/>
        <color theme="1"/>
        <rFont val="Times New Roman"/>
        <family val="1"/>
      </rPr>
      <t>Model:</t>
    </r>
    <r>
      <rPr>
        <sz val="12"/>
        <color theme="1"/>
        <rFont val="Times New Roman"/>
        <family val="1"/>
      </rPr>
      <t xml:space="preserve"> FF6H-MH</t>
    </r>
  </si>
  <si>
    <r>
      <t xml:space="preserve">Dimmer 
</t>
    </r>
    <r>
      <rPr>
        <b/>
        <sz val="12"/>
        <color theme="1"/>
        <rFont val="Times New Roman"/>
        <family val="1"/>
      </rPr>
      <t xml:space="preserve">Manufacturer: </t>
    </r>
    <r>
      <rPr>
        <sz val="12"/>
        <color theme="1"/>
        <rFont val="Times New Roman"/>
        <family val="1"/>
      </rPr>
      <t>Lutron</t>
    </r>
  </si>
  <si>
    <t>TRANSFORMER</t>
  </si>
  <si>
    <t>Building Electrical Riser Diagram/ E501</t>
  </si>
  <si>
    <t>Tag T-1: 15KVA Transformer (Single Phase)</t>
  </si>
  <si>
    <t>ELECTRONIC SAFETY AND SECURITY MANUFACTURER</t>
  </si>
  <si>
    <t>SMOKE DETECTION SENSOR</t>
  </si>
  <si>
    <t>Smoke Detector</t>
  </si>
  <si>
    <t>Symbol/ M101</t>
  </si>
  <si>
    <r>
      <rPr>
        <b/>
        <sz val="12"/>
        <color theme="1"/>
        <rFont val="Times New Roman"/>
        <family val="1"/>
      </rPr>
      <t>Tag C:</t>
    </r>
    <r>
      <rPr>
        <sz val="12"/>
        <color theme="1"/>
        <rFont val="Times New Roman"/>
        <family val="1"/>
      </rPr>
      <t xml:space="preserve"> Wall Mounted Sensor
</t>
    </r>
    <r>
      <rPr>
        <b/>
        <sz val="12"/>
        <color theme="1"/>
        <rFont val="Times New Roman"/>
        <family val="1"/>
      </rPr>
      <t>Manufacturer:</t>
    </r>
    <r>
      <rPr>
        <sz val="12"/>
        <color theme="1"/>
        <rFont val="Times New Roman"/>
        <family val="1"/>
      </rPr>
      <t xml:space="preserve"> Renewaire</t>
    </r>
  </si>
  <si>
    <r>
      <rPr>
        <b/>
        <sz val="12"/>
        <color theme="1"/>
        <rFont val="Times New Roman"/>
        <family val="1"/>
      </rPr>
      <t>Tag T:</t>
    </r>
    <r>
      <rPr>
        <sz val="12"/>
        <color theme="1"/>
        <rFont val="Times New Roman"/>
        <family val="1"/>
      </rPr>
      <t xml:space="preserve"> Timer To Control ERV
</t>
    </r>
    <r>
      <rPr>
        <b/>
        <sz val="12"/>
        <color theme="1"/>
        <rFont val="Times New Roman"/>
        <family val="1"/>
      </rPr>
      <t xml:space="preserve">Manufacturer: </t>
    </r>
    <r>
      <rPr>
        <sz val="12"/>
        <color theme="1"/>
        <rFont val="Times New Roman"/>
        <family val="1"/>
      </rPr>
      <t>Renewaire</t>
    </r>
  </si>
  <si>
    <r>
      <rPr>
        <b/>
        <sz val="12"/>
        <color theme="1"/>
        <rFont val="Times New Roman"/>
        <family val="1"/>
      </rPr>
      <t>Tag L:</t>
    </r>
    <r>
      <rPr>
        <sz val="12"/>
        <color theme="1"/>
        <rFont val="Times New Roman"/>
        <family val="1"/>
      </rPr>
      <t xml:space="preserve"> Sens-A-Coil Leak Detection System
</t>
    </r>
    <r>
      <rPr>
        <b/>
        <sz val="12"/>
        <color theme="1"/>
        <rFont val="Times New Roman"/>
        <family val="1"/>
      </rPr>
      <t>Model:</t>
    </r>
    <r>
      <rPr>
        <sz val="12"/>
        <color theme="1"/>
        <rFont val="Times New Roman"/>
        <family val="1"/>
      </rPr>
      <t xml:space="preserve"> S4137R410A</t>
    </r>
  </si>
  <si>
    <r>
      <rPr>
        <b/>
        <sz val="12"/>
        <color theme="1"/>
        <rFont val="Times New Roman"/>
        <family val="1"/>
      </rPr>
      <t xml:space="preserve">Tag C1: </t>
    </r>
    <r>
      <rPr>
        <sz val="12"/>
        <color theme="1"/>
        <rFont val="Times New Roman"/>
        <family val="1"/>
      </rPr>
      <t xml:space="preserve">CO2 Sensor 
</t>
    </r>
    <r>
      <rPr>
        <b/>
        <sz val="12"/>
        <color theme="1"/>
        <rFont val="Times New Roman"/>
        <family val="1"/>
      </rPr>
      <t>Manufacturer:</t>
    </r>
    <r>
      <rPr>
        <sz val="12"/>
        <color theme="1"/>
        <rFont val="Times New Roman"/>
        <family val="1"/>
      </rPr>
      <t xml:space="preserve"> Honeywell 
</t>
    </r>
    <r>
      <rPr>
        <b/>
        <sz val="12"/>
        <color theme="1"/>
        <rFont val="Times New Roman"/>
        <family val="1"/>
      </rPr>
      <t>Model:</t>
    </r>
    <r>
      <rPr>
        <sz val="12"/>
        <color theme="1"/>
        <rFont val="Times New Roman"/>
        <family val="1"/>
      </rPr>
      <t xml:space="preserve"> C7232A1008</t>
    </r>
  </si>
  <si>
    <r>
      <rPr>
        <b/>
        <sz val="12"/>
        <color theme="1"/>
        <rFont val="Times New Roman"/>
        <family val="1"/>
      </rPr>
      <t>Steel Lintel:</t>
    </r>
    <r>
      <rPr>
        <sz val="12"/>
        <color theme="1"/>
        <rFont val="Times New Roman"/>
        <family val="1"/>
      </rPr>
      <t xml:space="preserve">
W8X15 w/ 1/4" Thk. Plate (70 LF)</t>
    </r>
  </si>
  <si>
    <r>
      <rPr>
        <b/>
        <sz val="12"/>
        <color theme="1"/>
        <rFont val="Times New Roman"/>
        <family val="1"/>
      </rPr>
      <t>Tag US:</t>
    </r>
    <r>
      <rPr>
        <sz val="12"/>
        <color theme="1"/>
        <rFont val="Times New Roman"/>
        <family val="1"/>
      </rPr>
      <t xml:space="preserve"> Utility Sink
</t>
    </r>
    <r>
      <rPr>
        <b/>
        <sz val="12"/>
        <color theme="1"/>
        <rFont val="Times New Roman"/>
        <family val="1"/>
      </rPr>
      <t>Manufacturer:</t>
    </r>
    <r>
      <rPr>
        <sz val="12"/>
        <color theme="1"/>
        <rFont val="Times New Roman"/>
        <family val="1"/>
      </rPr>
      <t xml:space="preserve"> Griffin 
</t>
    </r>
    <r>
      <rPr>
        <b/>
        <sz val="12"/>
        <color theme="1"/>
        <rFont val="Times New Roman"/>
        <family val="1"/>
      </rPr>
      <t>Catalog #:</t>
    </r>
    <r>
      <rPr>
        <sz val="12"/>
        <color theme="1"/>
        <rFont val="Times New Roman"/>
        <family val="1"/>
      </rPr>
      <t xml:space="preserve"> UM-299</t>
    </r>
  </si>
  <si>
    <t>Duplex Receptacle (Tamper Resistance)</t>
  </si>
  <si>
    <t>Motor W/ Liquid tight Flexible Conduit</t>
  </si>
  <si>
    <r>
      <rPr>
        <b/>
        <sz val="12"/>
        <color theme="1"/>
        <rFont val="Times New Roman"/>
        <family val="1"/>
      </rPr>
      <t>Tag VRF1-15:</t>
    </r>
    <r>
      <rPr>
        <sz val="12"/>
        <color theme="1"/>
        <rFont val="Times New Roman"/>
        <family val="1"/>
      </rPr>
      <t xml:space="preserve"> Variable Refrigerant Flow
</t>
    </r>
    <r>
      <rPr>
        <b/>
        <sz val="12"/>
        <color theme="1"/>
        <rFont val="Times New Roman"/>
        <family val="1"/>
      </rPr>
      <t>Manufacturer:</t>
    </r>
    <r>
      <rPr>
        <sz val="12"/>
        <color theme="1"/>
        <rFont val="Times New Roman"/>
        <family val="1"/>
      </rPr>
      <t xml:space="preserve"> Mitsubishi
</t>
    </r>
    <r>
      <rPr>
        <b/>
        <sz val="12"/>
        <color theme="1"/>
        <rFont val="Times New Roman"/>
        <family val="1"/>
      </rPr>
      <t>Size:</t>
    </r>
    <r>
      <rPr>
        <sz val="12"/>
        <color theme="1"/>
        <rFont val="Times New Roman"/>
        <family val="1"/>
      </rPr>
      <t xml:space="preserve"> 10"HX36"WX30"D
</t>
    </r>
    <r>
      <rPr>
        <b/>
        <sz val="12"/>
        <color theme="1"/>
        <rFont val="Times New Roman"/>
        <family val="1"/>
      </rPr>
      <t xml:space="preserve">Capacity: </t>
    </r>
    <r>
      <rPr>
        <sz val="12"/>
        <color theme="1"/>
        <rFont val="Times New Roman"/>
        <family val="1"/>
      </rPr>
      <t>600 CFM</t>
    </r>
  </si>
  <si>
    <r>
      <t xml:space="preserve">Wiring and Junction Box for 42" Reversible 3-Speed Ceiling Fan
</t>
    </r>
    <r>
      <rPr>
        <sz val="12"/>
        <color rgb="FFFF0000"/>
        <rFont val="Times New Roman"/>
        <family val="1"/>
      </rPr>
      <t>Note: Please Verify If Owner Provided and Installed. See RFI Response on RFI no.TB 005</t>
    </r>
  </si>
  <si>
    <t xml:space="preserve">EMERGENCY AND EXIT LIGHT </t>
  </si>
  <si>
    <t>Symbols For Emergency Light/ E001</t>
  </si>
  <si>
    <r>
      <rPr>
        <b/>
        <sz val="12"/>
        <color theme="1"/>
        <rFont val="Times New Roman"/>
        <family val="1"/>
      </rPr>
      <t xml:space="preserve">Tag A: </t>
    </r>
    <r>
      <rPr>
        <sz val="12"/>
        <color theme="1"/>
        <rFont val="Times New Roman"/>
        <family val="1"/>
      </rPr>
      <t xml:space="preserve">Emergency Light W/ Battery Pack &amp; Remote Head
</t>
    </r>
    <r>
      <rPr>
        <b/>
        <sz val="12"/>
        <color theme="1"/>
        <rFont val="Times New Roman"/>
        <family val="1"/>
      </rPr>
      <t>Manufacturer:</t>
    </r>
    <r>
      <rPr>
        <sz val="12"/>
        <color theme="1"/>
        <rFont val="Times New Roman"/>
        <family val="1"/>
      </rPr>
      <t xml:space="preserve"> Hubbell Compass
</t>
    </r>
    <r>
      <rPr>
        <b/>
        <sz val="12"/>
        <color theme="1"/>
        <rFont val="Times New Roman"/>
        <family val="1"/>
      </rPr>
      <t xml:space="preserve">Catalog No: </t>
    </r>
    <r>
      <rPr>
        <sz val="12"/>
        <color theme="1"/>
        <rFont val="Times New Roman"/>
        <family val="1"/>
      </rPr>
      <t>CU2 Series</t>
    </r>
    <r>
      <rPr>
        <b/>
        <sz val="12"/>
        <color theme="1"/>
        <rFont val="Times New Roman"/>
        <family val="1"/>
      </rPr>
      <t xml:space="preserve"> </t>
    </r>
  </si>
  <si>
    <r>
      <t xml:space="preserve">4" Dia x 4'-0" H Steel Pipe Concrete Filled Bollards Around Transformer
</t>
    </r>
    <r>
      <rPr>
        <b/>
        <sz val="12"/>
        <color theme="1"/>
        <rFont val="Times New Roman"/>
        <family val="1"/>
      </rPr>
      <t xml:space="preserve">Paint: </t>
    </r>
    <r>
      <rPr>
        <sz val="12"/>
        <color theme="1"/>
        <rFont val="Times New Roman"/>
        <family val="1"/>
      </rPr>
      <t>Yellow</t>
    </r>
  </si>
  <si>
    <t>Electronic Safety And Security Manufacturer</t>
  </si>
  <si>
    <r>
      <rPr>
        <b/>
        <sz val="12"/>
        <color theme="1"/>
        <rFont val="Times New Roman"/>
        <family val="1"/>
      </rPr>
      <t>Window Tag 123-125:</t>
    </r>
    <r>
      <rPr>
        <sz val="12"/>
        <color theme="1"/>
        <rFont val="Times New Roman"/>
        <family val="1"/>
      </rPr>
      <t xml:space="preserve"> 
</t>
    </r>
    <r>
      <rPr>
        <b/>
        <sz val="12"/>
        <color theme="1"/>
        <rFont val="Times New Roman"/>
        <family val="1"/>
      </rPr>
      <t xml:space="preserve">Window Size: </t>
    </r>
    <r>
      <rPr>
        <sz val="12"/>
        <color theme="1"/>
        <rFont val="Times New Roman"/>
        <family val="1"/>
      </rPr>
      <t xml:space="preserve">(79 3/4" W x 26" H) 
</t>
    </r>
    <r>
      <rPr>
        <b/>
        <sz val="12"/>
        <color theme="1"/>
        <rFont val="Times New Roman"/>
        <family val="1"/>
      </rPr>
      <t>Frame Material:</t>
    </r>
    <r>
      <rPr>
        <sz val="12"/>
        <color theme="1"/>
        <rFont val="Times New Roman"/>
        <family val="1"/>
      </rPr>
      <t xml:space="preserve"> Aluminum 
</t>
    </r>
    <r>
      <rPr>
        <b/>
        <sz val="12"/>
        <color theme="1"/>
        <rFont val="Times New Roman"/>
        <family val="1"/>
      </rPr>
      <t>Style:</t>
    </r>
    <r>
      <rPr>
        <sz val="12"/>
        <color theme="1"/>
        <rFont val="Times New Roman"/>
        <family val="1"/>
      </rPr>
      <t xml:space="preserve"> C: Kawneer 8400 Left Slider
</t>
    </r>
    <r>
      <rPr>
        <b/>
        <sz val="12"/>
        <color theme="1"/>
        <rFont val="Times New Roman"/>
        <family val="1"/>
      </rPr>
      <t>Glazing Type</t>
    </r>
    <r>
      <rPr>
        <sz val="12"/>
        <color theme="1"/>
        <rFont val="Times New Roman"/>
        <family val="1"/>
      </rPr>
      <t>: G1: Insulated Double Pane Glazing W/ Low-E Coating.</t>
    </r>
  </si>
  <si>
    <r>
      <rPr>
        <b/>
        <sz val="12"/>
        <color theme="1"/>
        <rFont val="Times New Roman"/>
        <family val="1"/>
      </rPr>
      <t>Window Tag 126:</t>
    </r>
    <r>
      <rPr>
        <sz val="12"/>
        <color theme="1"/>
        <rFont val="Times New Roman"/>
        <family val="1"/>
      </rPr>
      <t xml:space="preserve"> 
</t>
    </r>
    <r>
      <rPr>
        <b/>
        <sz val="12"/>
        <color theme="1"/>
        <rFont val="Times New Roman"/>
        <family val="1"/>
      </rPr>
      <t xml:space="preserve">Window Size: </t>
    </r>
    <r>
      <rPr>
        <sz val="12"/>
        <color theme="1"/>
        <rFont val="Times New Roman"/>
        <family val="1"/>
      </rPr>
      <t xml:space="preserve">(78 3/4" W x 26" H) 
</t>
    </r>
    <r>
      <rPr>
        <b/>
        <sz val="12"/>
        <color theme="1"/>
        <rFont val="Times New Roman"/>
        <family val="1"/>
      </rPr>
      <t>Frame Material:</t>
    </r>
    <r>
      <rPr>
        <sz val="12"/>
        <color theme="1"/>
        <rFont val="Times New Roman"/>
        <family val="1"/>
      </rPr>
      <t xml:space="preserve"> Aluminum 
</t>
    </r>
    <r>
      <rPr>
        <b/>
        <sz val="12"/>
        <color theme="1"/>
        <rFont val="Times New Roman"/>
        <family val="1"/>
      </rPr>
      <t>Style:</t>
    </r>
    <r>
      <rPr>
        <sz val="12"/>
        <color theme="1"/>
        <rFont val="Times New Roman"/>
        <family val="1"/>
      </rPr>
      <t xml:space="preserve"> B: Kawneer 8400 Right Slider
</t>
    </r>
    <r>
      <rPr>
        <b/>
        <sz val="12"/>
        <color theme="1"/>
        <rFont val="Times New Roman"/>
        <family val="1"/>
      </rPr>
      <t>Glazing Type</t>
    </r>
    <r>
      <rPr>
        <sz val="12"/>
        <color theme="1"/>
        <rFont val="Times New Roman"/>
        <family val="1"/>
      </rPr>
      <t>: G1: Insulated Double Pane Glazing W/ Low-E Coating.</t>
    </r>
  </si>
  <si>
    <r>
      <rPr>
        <b/>
        <sz val="12"/>
        <color theme="1"/>
        <rFont val="Times New Roman"/>
        <family val="1"/>
      </rPr>
      <t>Tag 18:</t>
    </r>
    <r>
      <rPr>
        <sz val="12"/>
        <color theme="1"/>
        <rFont val="Times New Roman"/>
        <family val="1"/>
      </rPr>
      <t xml:space="preserve"> Demolish Existing Masonry Wall ( 9'-3" H)</t>
    </r>
  </si>
  <si>
    <t>6" H Welded Wire T Fence 14/14 Ga. Galvanized Wire 2'-4@  Openings w/ Neon Flagging</t>
  </si>
  <si>
    <t>6" (CR-6) Compacted Stone Base</t>
  </si>
  <si>
    <r>
      <rPr>
        <b/>
        <sz val="12"/>
        <color theme="1"/>
        <rFont val="Times New Roman"/>
        <family val="1"/>
      </rPr>
      <t>Plan Tag:</t>
    </r>
    <r>
      <rPr>
        <sz val="12"/>
        <color theme="1"/>
        <rFont val="Times New Roman"/>
        <family val="1"/>
      </rPr>
      <t xml:space="preserve"> RH
</t>
    </r>
    <r>
      <rPr>
        <b/>
        <sz val="12"/>
        <color theme="1"/>
        <rFont val="Times New Roman"/>
        <family val="1"/>
      </rPr>
      <t xml:space="preserve">Botanical Name: </t>
    </r>
    <r>
      <rPr>
        <sz val="12"/>
        <color theme="1"/>
        <rFont val="Times New Roman"/>
        <family val="1"/>
      </rPr>
      <t xml:space="preserve">Rudbeckia Hirta
</t>
    </r>
    <r>
      <rPr>
        <b/>
        <sz val="12"/>
        <color theme="1"/>
        <rFont val="Times New Roman"/>
        <family val="1"/>
      </rPr>
      <t>Common Name:</t>
    </r>
    <r>
      <rPr>
        <sz val="12"/>
        <color theme="1"/>
        <rFont val="Times New Roman"/>
        <family val="1"/>
      </rPr>
      <t xml:space="preserve"> Black Eyed Susan
</t>
    </r>
    <r>
      <rPr>
        <b/>
        <sz val="12"/>
        <color theme="1"/>
        <rFont val="Times New Roman"/>
        <family val="1"/>
      </rPr>
      <t>Cont.:</t>
    </r>
    <r>
      <rPr>
        <sz val="12"/>
        <color theme="1"/>
        <rFont val="Times New Roman"/>
        <family val="1"/>
      </rPr>
      <t xml:space="preserve"> 1 Gal
</t>
    </r>
    <r>
      <rPr>
        <b/>
        <sz val="12"/>
        <color theme="1"/>
        <rFont val="Times New Roman"/>
        <family val="1"/>
      </rPr>
      <t>Size:</t>
    </r>
    <r>
      <rPr>
        <sz val="12"/>
        <color theme="1"/>
        <rFont val="Times New Roman"/>
        <family val="1"/>
      </rPr>
      <t xml:space="preserve"> 18" O.C</t>
    </r>
  </si>
  <si>
    <t>DUCT WEIGHT</t>
  </si>
  <si>
    <t>Galvanized Sheet Metal Duct</t>
  </si>
  <si>
    <t>DUCT INSULATION</t>
  </si>
  <si>
    <t>Insulation @ Galvanized Sheet Metal Duct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</si>
</sst>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3" formatCode="_-* #,##0.00_-;\-* #,##0.00_-;_-* &quot;-&quot;??_-;_-@_-"/>
    <numFmt numFmtId="164" formatCode="_(* #,##0_);_(* \(#,##0\);_(* &quot;-&quot;_);_(@_)"/>
    <numFmt numFmtId="165" formatCode="_(&quot;$&quot;* #,##0.00_);_(&quot;$&quot;* \(#,##0.00\);_(&quot;$&quot;* &quot;-&quot;??_);_(@_)"/>
    <numFmt numFmtId="166" formatCode="&quot;$&quot;#,##0"/>
    <numFmt numFmtId="167" formatCode="_(&quot;$&quot;* #,##0_);_(&quot;$&quot;* \(#,##0\);_(&quot;$&quot;* &quot;-&quot;??_);_(@_)"/>
    <numFmt numFmtId="168" formatCode="[$$-409]#,##0"/>
    <numFmt numFmtId="169" formatCode="[$-409]d\-mmm\-yy;@"/>
    <numFmt numFmtId="170" formatCode="0.000"/>
    <numFmt numFmtId="171" formatCode="0.0"/>
    <numFmt numFmtId="172" formatCode="_-[$$-409]* #,##0.00_ ;_-[$$-409]* \-#,##0.00\ ;_-[$$-409]* &quot;-&quot;??_ ;_-@_ "/>
    <numFmt numFmtId="173" formatCode="mm/dd/yy;@"/>
    <numFmt numFmtId="175" formatCode="[$$-409]#,##0.00"/>
  </numFmts>
  <fonts count="30" x14ac:knownFonts="1">
    <font>
      <sz val="11"/>
      <color theme="1"/>
      <name val="Tw Cen MT"/>
      <family val="2"/>
      <scheme val="minor"/>
    </font>
    <font>
      <b/>
      <sz val="12"/>
      <color theme="1"/>
      <name val="Tw Cen MT"/>
      <family val="2"/>
      <scheme val="minor"/>
    </font>
    <font>
      <sz val="14"/>
      <color theme="1"/>
      <name val="Tw Cen MT"/>
      <family val="2"/>
      <scheme val="minor"/>
    </font>
    <font>
      <sz val="11"/>
      <color theme="1"/>
      <name val="Tw Cen MT"/>
      <family val="2"/>
      <scheme val="minor"/>
    </font>
    <font>
      <sz val="12"/>
      <name val="Arial"/>
      <family val="2"/>
    </font>
    <font>
      <b/>
      <sz val="11"/>
      <color theme="0"/>
      <name val="Times New Roman"/>
      <family val="1"/>
    </font>
    <font>
      <b/>
      <sz val="16"/>
      <color theme="0"/>
      <name val="Times New Roman"/>
      <family val="1"/>
    </font>
    <font>
      <b/>
      <sz val="14"/>
      <name val="Times New Roman"/>
      <family val="1"/>
    </font>
    <font>
      <b/>
      <sz val="14"/>
      <color theme="1"/>
      <name val="Times New Roman"/>
      <family val="1"/>
    </font>
    <font>
      <b/>
      <sz val="12"/>
      <color rgb="FF0000B3"/>
      <name val="Times New Roman"/>
      <family val="1"/>
    </font>
    <font>
      <b/>
      <sz val="12"/>
      <color theme="1"/>
      <name val="Times New Roman"/>
      <family val="1"/>
    </font>
    <font>
      <b/>
      <sz val="12"/>
      <color rgb="FF009A88"/>
      <name val="Times New Roman"/>
      <family val="1"/>
    </font>
    <font>
      <b/>
      <sz val="12"/>
      <name val="Times New Roman"/>
      <family val="1"/>
    </font>
    <font>
      <b/>
      <sz val="12"/>
      <color theme="0"/>
      <name val="Times New Roman"/>
      <family val="1"/>
    </font>
    <font>
      <sz val="12"/>
      <name val="Times New Roman"/>
      <family val="1"/>
    </font>
    <font>
      <sz val="12"/>
      <color theme="1"/>
      <name val="Times New Roman"/>
      <family val="1"/>
    </font>
    <font>
      <sz val="11"/>
      <color theme="1"/>
      <name val="Times New Roman"/>
      <family val="1"/>
    </font>
    <font>
      <sz val="12"/>
      <color theme="0"/>
      <name val="Times New Roman"/>
      <family val="1"/>
    </font>
    <font>
      <sz val="14"/>
      <name val="Times New Roman"/>
      <family val="1"/>
    </font>
    <font>
      <b/>
      <sz val="14"/>
      <color rgb="FF009A88"/>
      <name val="Times New Roman"/>
      <family val="1"/>
    </font>
    <font>
      <b/>
      <sz val="11"/>
      <name val="Times New Roman"/>
      <family val="1"/>
    </font>
    <font>
      <b/>
      <sz val="14"/>
      <color theme="0"/>
      <name val="Times New Roman"/>
      <family val="1"/>
    </font>
    <font>
      <b/>
      <sz val="12"/>
      <color rgb="FF0000CC"/>
      <name val="Times New Roman"/>
      <family val="1"/>
    </font>
    <font>
      <sz val="12"/>
      <color rgb="FFFF0000"/>
      <name val="Times New Roman"/>
      <family val="1"/>
    </font>
    <font>
      <b/>
      <sz val="12"/>
      <color rgb="FFFF0000"/>
      <name val="Times New Roman"/>
      <family val="1"/>
    </font>
    <font>
      <b/>
      <sz val="11"/>
      <color theme="1"/>
      <name val="Tw Cen MT"/>
      <family val="2"/>
      <scheme val="minor"/>
    </font>
    <font>
      <b/>
      <sz val="14"/>
      <color theme="1"/>
      <name val="Tw Cen MT"/>
      <family val="2"/>
      <scheme val="minor"/>
    </font>
    <font>
      <b/>
      <sz val="11"/>
      <color theme="1"/>
      <name val="Times New Roman"/>
      <family val="1"/>
    </font>
    <font>
      <b/>
      <sz val="14"/>
      <color rgb="FFFF0000"/>
      <name val="Times New Roman"/>
      <family val="1"/>
    </font>
    <font>
      <b/>
      <sz val="14"/>
      <color rgb="FF0000B3"/>
      <name val="Times New Roman"/>
      <family val="1"/>
    </font>
  </fonts>
  <fills count="10">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FFFFCC"/>
      </patternFill>
    </fill>
    <fill>
      <patternFill patternType="solid">
        <fgColor rgb="FF013554"/>
        <bgColor indexed="64"/>
      </patternFill>
    </fill>
    <fill>
      <patternFill patternType="solid">
        <fgColor rgb="FF00496A"/>
        <bgColor indexed="64"/>
      </patternFill>
    </fill>
    <fill>
      <patternFill patternType="solid">
        <fgColor rgb="FF4A4C4C"/>
        <bgColor indexed="64"/>
      </patternFill>
    </fill>
    <fill>
      <patternFill patternType="solid">
        <fgColor theme="0" tint="-0.249977111117893"/>
        <bgColor indexed="64"/>
      </patternFill>
    </fill>
    <fill>
      <patternFill patternType="solid">
        <fgColor rgb="FFFFFF00"/>
        <bgColor indexed="64"/>
      </patternFill>
    </fill>
  </fills>
  <borders count="65">
    <border>
      <left/>
      <right/>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top style="medium">
        <color indexed="64"/>
      </top>
      <bottom/>
      <diagonal/>
    </border>
    <border>
      <left style="thin">
        <color indexed="64"/>
      </left>
      <right/>
      <top style="thin">
        <color indexed="64"/>
      </top>
      <bottom/>
      <diagonal/>
    </border>
    <border>
      <left/>
      <right/>
      <top style="thin">
        <color theme="0"/>
      </top>
      <bottom style="thin">
        <color indexed="64"/>
      </bottom>
      <diagonal/>
    </border>
    <border>
      <left/>
      <right style="thin">
        <color indexed="64"/>
      </right>
      <top style="thin">
        <color theme="0"/>
      </top>
      <bottom style="thin">
        <color indexed="64"/>
      </bottom>
      <diagonal/>
    </border>
    <border>
      <left style="thin">
        <color indexed="64"/>
      </left>
      <right style="thin">
        <color indexed="64"/>
      </right>
      <top style="thin">
        <color indexed="64"/>
      </top>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top style="thin">
        <color theme="0"/>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double">
        <color indexed="64"/>
      </top>
      <bottom/>
      <diagonal/>
    </border>
    <border>
      <left/>
      <right/>
      <top style="medium">
        <color indexed="64"/>
      </top>
      <bottom style="medium">
        <color indexed="64"/>
      </bottom>
      <diagonal/>
    </border>
    <border>
      <left style="medium">
        <color indexed="64"/>
      </left>
      <right/>
      <top/>
      <bottom style="double">
        <color indexed="64"/>
      </bottom>
      <diagonal/>
    </border>
    <border>
      <left style="medium">
        <color indexed="64"/>
      </left>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style="medium">
        <color indexed="64"/>
      </left>
      <right style="thin">
        <color indexed="64"/>
      </right>
      <top style="double">
        <color indexed="64"/>
      </top>
      <bottom/>
      <diagonal/>
    </border>
    <border>
      <left style="thin">
        <color indexed="64"/>
      </left>
      <right style="medium">
        <color indexed="64"/>
      </right>
      <top/>
      <bottom style="thin">
        <color indexed="64"/>
      </bottom>
      <diagonal/>
    </border>
    <border>
      <left style="medium">
        <color indexed="64"/>
      </left>
      <right/>
      <top style="thin">
        <color theme="0"/>
      </top>
      <bottom style="medium">
        <color indexed="64"/>
      </bottom>
      <diagonal/>
    </border>
    <border>
      <left/>
      <right/>
      <top style="thin">
        <color theme="0"/>
      </top>
      <bottom style="medium">
        <color indexed="64"/>
      </bottom>
      <diagonal/>
    </border>
    <border>
      <left/>
      <right style="thin">
        <color indexed="64"/>
      </right>
      <top style="thin">
        <color theme="0"/>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double">
        <color indexed="64"/>
      </top>
      <bottom/>
      <diagonal/>
    </border>
    <border>
      <left/>
      <right style="thin">
        <color indexed="64"/>
      </right>
      <top style="thin">
        <color indexed="64"/>
      </top>
      <bottom style="thin">
        <color indexed="64"/>
      </bottom>
      <diagonal/>
    </border>
    <border>
      <left/>
      <right/>
      <top/>
      <bottom style="thin">
        <color indexed="64"/>
      </bottom>
      <diagonal/>
    </border>
    <border>
      <left style="medium">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style="medium">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medium">
        <color indexed="64"/>
      </right>
      <top style="double">
        <color indexed="64"/>
      </top>
      <bottom/>
      <diagonal/>
    </border>
    <border>
      <left style="medium">
        <color indexed="64"/>
      </left>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right style="medium">
        <color indexed="64"/>
      </right>
      <top style="medium">
        <color indexed="64"/>
      </top>
      <bottom/>
      <diagonal/>
    </border>
    <border>
      <left style="thin">
        <color indexed="64"/>
      </left>
      <right/>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s>
  <cellStyleXfs count="9">
    <xf numFmtId="0" fontId="0" fillId="0" borderId="0"/>
    <xf numFmtId="1" fontId="1" fillId="3" borderId="1">
      <alignment horizontal="center" vertical="center"/>
    </xf>
    <xf numFmtId="165" fontId="3" fillId="0" borderId="0" applyFont="0" applyFill="0" applyBorder="0" applyAlignment="0" applyProtection="0"/>
    <xf numFmtId="165" fontId="3" fillId="0" borderId="0" applyFont="0" applyFill="0" applyBorder="0" applyAlignment="0" applyProtection="0"/>
    <xf numFmtId="0" fontId="4" fillId="0" borderId="0"/>
    <xf numFmtId="0" fontId="3" fillId="4" borderId="25" applyNumberFormat="0" applyFont="0" applyAlignment="0" applyProtection="0"/>
    <xf numFmtId="9" fontId="4" fillId="0" borderId="0" applyFont="0" applyFill="0" applyBorder="0" applyAlignment="0" applyProtection="0"/>
    <xf numFmtId="165" fontId="4" fillId="0" borderId="0" applyFont="0" applyFill="0" applyBorder="0" applyAlignment="0" applyProtection="0"/>
    <xf numFmtId="9" fontId="3" fillId="0" borderId="0" applyFont="0" applyFill="0" applyBorder="0" applyAlignment="0" applyProtection="0"/>
  </cellStyleXfs>
  <cellXfs count="390">
    <xf numFmtId="0" fontId="0" fillId="0" borderId="0" xfId="0"/>
    <xf numFmtId="0" fontId="0" fillId="0" borderId="0" xfId="0" applyAlignment="1">
      <alignment vertical="center"/>
    </xf>
    <xf numFmtId="0" fontId="2" fillId="2" borderId="3"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0" fillId="3" borderId="0" xfId="0" applyFill="1" applyAlignment="1">
      <alignment vertical="center"/>
    </xf>
    <xf numFmtId="0" fontId="0" fillId="3" borderId="0" xfId="0" applyFill="1" applyAlignment="1">
      <alignment horizontal="center" vertical="center"/>
    </xf>
    <xf numFmtId="0" fontId="0" fillId="3" borderId="0" xfId="0" applyFill="1"/>
    <xf numFmtId="167" fontId="0" fillId="3" borderId="0" xfId="0" applyNumberFormat="1" applyFill="1"/>
    <xf numFmtId="0" fontId="0" fillId="3" borderId="0" xfId="0" applyFill="1" applyAlignment="1">
      <alignment vertical="center" wrapText="1"/>
    </xf>
    <xf numFmtId="165" fontId="0" fillId="3" borderId="0" xfId="0" applyNumberFormat="1" applyFill="1" applyAlignment="1">
      <alignment vertical="center"/>
    </xf>
    <xf numFmtId="0" fontId="5" fillId="5" borderId="26" xfId="0" applyFont="1" applyFill="1" applyBorder="1" applyAlignment="1">
      <alignment horizontal="center" vertical="center" wrapText="1"/>
    </xf>
    <xf numFmtId="0" fontId="5" fillId="5" borderId="33" xfId="0" applyFont="1" applyFill="1" applyBorder="1" applyAlignment="1">
      <alignment horizontal="center" vertical="center" wrapText="1"/>
    </xf>
    <xf numFmtId="0" fontId="5" fillId="5" borderId="21" xfId="0" applyFont="1" applyFill="1" applyBorder="1" applyAlignment="1">
      <alignment horizontal="center" vertical="center" wrapText="1"/>
    </xf>
    <xf numFmtId="0" fontId="5" fillId="5" borderId="45" xfId="0" applyFont="1" applyFill="1" applyBorder="1" applyAlignment="1">
      <alignment horizontal="center" vertical="center" wrapText="1"/>
    </xf>
    <xf numFmtId="0" fontId="0" fillId="5" borderId="0" xfId="0" applyFill="1" applyAlignment="1">
      <alignment vertical="center"/>
    </xf>
    <xf numFmtId="0" fontId="7" fillId="3" borderId="8" xfId="0" applyFont="1" applyFill="1" applyBorder="1" applyAlignment="1">
      <alignment horizontal="left" vertical="center"/>
    </xf>
    <xf numFmtId="0" fontId="12" fillId="3" borderId="8" xfId="0" applyFont="1" applyFill="1" applyBorder="1" applyAlignment="1">
      <alignment horizontal="left" vertical="center"/>
    </xf>
    <xf numFmtId="0" fontId="12" fillId="0" borderId="11" xfId="0" applyFont="1" applyBorder="1" applyAlignment="1">
      <alignment horizontal="center" vertical="center"/>
    </xf>
    <xf numFmtId="167" fontId="13" fillId="7" borderId="9" xfId="2" applyNumberFormat="1" applyFont="1" applyFill="1" applyBorder="1" applyAlignment="1">
      <alignment vertical="center"/>
    </xf>
    <xf numFmtId="0" fontId="13" fillId="6" borderId="8" xfId="0" applyFont="1" applyFill="1" applyBorder="1" applyAlignment="1">
      <alignment horizontal="center" vertical="center"/>
    </xf>
    <xf numFmtId="167" fontId="17" fillId="6" borderId="10" xfId="2" applyNumberFormat="1" applyFont="1" applyFill="1" applyBorder="1" applyAlignment="1">
      <alignment horizontal="center" vertical="center"/>
    </xf>
    <xf numFmtId="0" fontId="8" fillId="0" borderId="8" xfId="0" applyFont="1" applyBorder="1" applyAlignment="1">
      <alignment horizontal="left" vertical="center"/>
    </xf>
    <xf numFmtId="169" fontId="7" fillId="3" borderId="10" xfId="0" applyNumberFormat="1" applyFont="1" applyFill="1" applyBorder="1" applyAlignment="1">
      <alignment horizontal="center" vertical="center" wrapText="1"/>
    </xf>
    <xf numFmtId="0" fontId="7" fillId="3" borderId="8" xfId="0" applyFont="1" applyFill="1" applyBorder="1" applyAlignment="1">
      <alignment vertical="center"/>
    </xf>
    <xf numFmtId="0" fontId="20" fillId="3" borderId="10" xfId="0" applyFont="1" applyFill="1" applyBorder="1" applyAlignment="1">
      <alignment horizontal="right" vertical="center" wrapText="1"/>
    </xf>
    <xf numFmtId="0" fontId="8" fillId="0" borderId="23" xfId="0" applyFont="1" applyBorder="1" applyAlignment="1">
      <alignment horizontal="left" vertical="center"/>
    </xf>
    <xf numFmtId="1" fontId="14" fillId="3" borderId="36" xfId="5" applyNumberFormat="1" applyFont="1" applyFill="1" applyBorder="1" applyAlignment="1">
      <alignment horizontal="center" vertical="center"/>
    </xf>
    <xf numFmtId="0" fontId="15" fillId="0" borderId="38" xfId="0" applyFont="1" applyBorder="1" applyAlignment="1">
      <alignment horizontal="left" vertical="center"/>
    </xf>
    <xf numFmtId="9" fontId="15" fillId="0" borderId="38" xfId="0" applyNumberFormat="1" applyFont="1" applyBorder="1" applyAlignment="1">
      <alignment horizontal="center" vertical="center"/>
    </xf>
    <xf numFmtId="1" fontId="15" fillId="0" borderId="38" xfId="0" applyNumberFormat="1" applyFont="1" applyBorder="1" applyAlignment="1">
      <alignment horizontal="center" vertical="center"/>
    </xf>
    <xf numFmtId="165" fontId="15" fillId="0" borderId="38" xfId="3" applyFont="1" applyBorder="1" applyAlignment="1">
      <alignment horizontal="center" vertical="center"/>
    </xf>
    <xf numFmtId="165" fontId="15" fillId="0" borderId="38" xfId="0" applyNumberFormat="1" applyFont="1" applyBorder="1" applyAlignment="1">
      <alignment horizontal="center" vertical="center" wrapText="1"/>
    </xf>
    <xf numFmtId="165" fontId="15" fillId="0" borderId="27" xfId="0" applyNumberFormat="1" applyFont="1" applyBorder="1" applyAlignment="1">
      <alignment horizontal="center" vertical="center" wrapText="1"/>
    </xf>
    <xf numFmtId="1" fontId="14" fillId="3" borderId="11" xfId="5" applyNumberFormat="1" applyFont="1" applyFill="1" applyBorder="1" applyAlignment="1">
      <alignment horizontal="center" vertical="center"/>
    </xf>
    <xf numFmtId="1" fontId="14" fillId="3" borderId="34" xfId="5" applyNumberFormat="1" applyFont="1" applyFill="1" applyBorder="1" applyAlignment="1">
      <alignment horizontal="center" vertical="center"/>
    </xf>
    <xf numFmtId="0" fontId="15" fillId="0" borderId="1" xfId="0" applyFont="1" applyBorder="1" applyAlignment="1">
      <alignment horizontal="center" vertical="center"/>
    </xf>
    <xf numFmtId="9" fontId="15" fillId="0" borderId="1" xfId="0" applyNumberFormat="1" applyFont="1" applyBorder="1" applyAlignment="1">
      <alignment horizontal="center" vertical="center"/>
    </xf>
    <xf numFmtId="1" fontId="15" fillId="0" borderId="1" xfId="0" applyNumberFormat="1" applyFont="1" applyBorder="1" applyAlignment="1">
      <alignment horizontal="center" vertical="center"/>
    </xf>
    <xf numFmtId="165" fontId="15" fillId="0" borderId="1" xfId="3" applyFont="1" applyBorder="1" applyAlignment="1">
      <alignment horizontal="center" vertical="center"/>
    </xf>
    <xf numFmtId="165" fontId="15" fillId="0" borderId="1" xfId="0" applyNumberFormat="1" applyFont="1" applyBorder="1" applyAlignment="1">
      <alignment horizontal="center" vertical="center" wrapText="1"/>
    </xf>
    <xf numFmtId="165" fontId="15" fillId="0" borderId="12" xfId="0" applyNumberFormat="1" applyFont="1" applyBorder="1" applyAlignment="1">
      <alignment horizontal="center" vertical="center" wrapText="1"/>
    </xf>
    <xf numFmtId="167" fontId="15" fillId="0" borderId="12" xfId="0" applyNumberFormat="1" applyFont="1" applyBorder="1" applyAlignment="1">
      <alignment horizontal="center" vertical="center" wrapText="1"/>
    </xf>
    <xf numFmtId="0" fontId="10" fillId="7" borderId="24" xfId="0" applyFont="1" applyFill="1" applyBorder="1" applyAlignment="1">
      <alignment vertical="center"/>
    </xf>
    <xf numFmtId="0" fontId="10" fillId="7" borderId="39" xfId="0" applyFont="1" applyFill="1" applyBorder="1" applyAlignment="1">
      <alignment vertical="center"/>
    </xf>
    <xf numFmtId="165" fontId="10" fillId="7" borderId="39" xfId="3" applyFont="1" applyFill="1" applyBorder="1" applyAlignment="1">
      <alignment horizontal="right" vertical="center"/>
    </xf>
    <xf numFmtId="165" fontId="13" fillId="7" borderId="39" xfId="0" applyNumberFormat="1" applyFont="1" applyFill="1" applyBorder="1" applyAlignment="1">
      <alignment horizontal="right" vertical="center" wrapText="1"/>
    </xf>
    <xf numFmtId="167" fontId="13" fillId="7" borderId="42" xfId="0" applyNumberFormat="1" applyFont="1" applyFill="1" applyBorder="1" applyAlignment="1">
      <alignment vertical="center" wrapText="1"/>
    </xf>
    <xf numFmtId="0" fontId="10" fillId="0" borderId="8" xfId="0" applyFont="1" applyBorder="1" applyAlignment="1">
      <alignment vertical="center"/>
    </xf>
    <xf numFmtId="165" fontId="10" fillId="0" borderId="0" xfId="3" applyFont="1" applyFill="1" applyBorder="1" applyAlignment="1">
      <alignment horizontal="right" vertical="center"/>
    </xf>
    <xf numFmtId="167" fontId="10" fillId="0" borderId="10" xfId="0" applyNumberFormat="1" applyFont="1" applyBorder="1" applyAlignment="1">
      <alignment vertical="center" wrapText="1"/>
    </xf>
    <xf numFmtId="0" fontId="17" fillId="5" borderId="24" xfId="0" applyFont="1" applyFill="1" applyBorder="1" applyAlignment="1">
      <alignment vertical="center"/>
    </xf>
    <xf numFmtId="0" fontId="17" fillId="5" borderId="39" xfId="0" applyFont="1" applyFill="1" applyBorder="1" applyAlignment="1">
      <alignment vertical="center"/>
    </xf>
    <xf numFmtId="0" fontId="13" fillId="5" borderId="41" xfId="0" applyFont="1" applyFill="1" applyBorder="1" applyAlignment="1">
      <alignment horizontal="center" vertical="center"/>
    </xf>
    <xf numFmtId="0" fontId="21" fillId="5" borderId="41" xfId="0" applyFont="1" applyFill="1" applyBorder="1" applyAlignment="1">
      <alignment vertical="center"/>
    </xf>
    <xf numFmtId="0" fontId="13" fillId="5" borderId="39" xfId="0" applyFont="1" applyFill="1" applyBorder="1" applyAlignment="1">
      <alignment vertical="center"/>
    </xf>
    <xf numFmtId="0" fontId="13" fillId="5" borderId="39" xfId="0" applyFont="1" applyFill="1" applyBorder="1" applyAlignment="1">
      <alignment vertical="center" wrapText="1"/>
    </xf>
    <xf numFmtId="0" fontId="13" fillId="5" borderId="42" xfId="0" applyFont="1" applyFill="1" applyBorder="1" applyAlignment="1">
      <alignment vertical="center" wrapText="1"/>
    </xf>
    <xf numFmtId="1" fontId="14" fillId="0" borderId="11" xfId="5" applyNumberFormat="1" applyFont="1" applyFill="1" applyBorder="1" applyAlignment="1">
      <alignment horizontal="center" vertical="center"/>
    </xf>
    <xf numFmtId="0" fontId="10" fillId="6" borderId="34" xfId="0" applyFont="1" applyFill="1" applyBorder="1" applyAlignment="1">
      <alignment horizontal="center" vertical="center"/>
    </xf>
    <xf numFmtId="0" fontId="15" fillId="0" borderId="34" xfId="0" applyFont="1" applyBorder="1" applyAlignment="1">
      <alignment horizontal="center" vertical="center"/>
    </xf>
    <xf numFmtId="165" fontId="15" fillId="0" borderId="1" xfId="3" applyFont="1" applyFill="1" applyBorder="1" applyAlignment="1">
      <alignment horizontal="center" vertical="center"/>
    </xf>
    <xf numFmtId="0" fontId="10" fillId="0" borderId="24" xfId="0" applyFont="1" applyBorder="1" applyAlignment="1">
      <alignment vertical="center"/>
    </xf>
    <xf numFmtId="0" fontId="10" fillId="0" borderId="1" xfId="0" applyFont="1" applyBorder="1" applyAlignment="1">
      <alignment vertical="center"/>
    </xf>
    <xf numFmtId="0" fontId="10" fillId="0" borderId="40" xfId="0" applyFont="1" applyBorder="1" applyAlignment="1">
      <alignment vertical="center"/>
    </xf>
    <xf numFmtId="1" fontId="22" fillId="0" borderId="34" xfId="0" applyNumberFormat="1" applyFont="1" applyBorder="1" applyAlignment="1">
      <alignment horizontal="center" vertical="center"/>
    </xf>
    <xf numFmtId="0" fontId="22" fillId="0" borderId="1" xfId="0" applyFont="1" applyBorder="1" applyAlignment="1">
      <alignment horizontal="center"/>
    </xf>
    <xf numFmtId="170" fontId="15" fillId="0" borderId="1" xfId="0" applyNumberFormat="1" applyFont="1" applyBorder="1" applyAlignment="1">
      <alignment horizontal="center" vertical="center"/>
    </xf>
    <xf numFmtId="1" fontId="14" fillId="3" borderId="24" xfId="5" applyNumberFormat="1" applyFont="1" applyFill="1" applyBorder="1" applyAlignment="1">
      <alignment horizontal="center" vertical="center"/>
    </xf>
    <xf numFmtId="1" fontId="14" fillId="3" borderId="1" xfId="5" applyNumberFormat="1" applyFont="1" applyFill="1" applyBorder="1" applyAlignment="1">
      <alignment vertical="center"/>
    </xf>
    <xf numFmtId="0" fontId="8" fillId="0" borderId="43" xfId="0" applyFont="1" applyBorder="1" applyAlignment="1">
      <alignment horizontal="left" wrapText="1"/>
    </xf>
    <xf numFmtId="0" fontId="22" fillId="0" borderId="37" xfId="0" applyFont="1" applyBorder="1" applyAlignment="1">
      <alignment horizontal="center" vertical="center"/>
    </xf>
    <xf numFmtId="0" fontId="22" fillId="0" borderId="34" xfId="0" applyFont="1" applyBorder="1" applyAlignment="1">
      <alignment horizontal="center" vertical="center"/>
    </xf>
    <xf numFmtId="0" fontId="15" fillId="3" borderId="8" xfId="5" applyFont="1" applyFill="1" applyBorder="1" applyAlignment="1">
      <alignment horizontal="left" vertical="center" wrapText="1"/>
    </xf>
    <xf numFmtId="0" fontId="15" fillId="3" borderId="0" xfId="5" applyFont="1" applyFill="1" applyBorder="1" applyAlignment="1">
      <alignment horizontal="left" vertical="center" wrapText="1"/>
    </xf>
    <xf numFmtId="0" fontId="14" fillId="3" borderId="0" xfId="5" applyFont="1" applyFill="1" applyBorder="1" applyAlignment="1">
      <alignment horizontal="center" vertical="center"/>
    </xf>
    <xf numFmtId="9" fontId="14" fillId="3" borderId="0" xfId="8" applyFont="1" applyFill="1" applyBorder="1" applyAlignment="1">
      <alignment horizontal="center" vertical="center"/>
    </xf>
    <xf numFmtId="165" fontId="14" fillId="3" borderId="0" xfId="3" applyFont="1" applyFill="1" applyBorder="1" applyAlignment="1" applyProtection="1">
      <alignment horizontal="center" vertical="center"/>
    </xf>
    <xf numFmtId="167" fontId="15" fillId="0" borderId="10" xfId="0" applyNumberFormat="1" applyFont="1" applyBorder="1" applyAlignment="1">
      <alignment horizontal="center" vertical="center" wrapText="1"/>
    </xf>
    <xf numFmtId="0" fontId="10" fillId="0" borderId="36" xfId="0" applyFont="1" applyBorder="1" applyAlignment="1">
      <alignment vertical="center"/>
    </xf>
    <xf numFmtId="1" fontId="22" fillId="0" borderId="37" xfId="0" applyNumberFormat="1" applyFont="1" applyBorder="1" applyAlignment="1">
      <alignment horizontal="center" vertical="center"/>
    </xf>
    <xf numFmtId="0" fontId="22" fillId="0" borderId="38" xfId="0" applyFont="1" applyBorder="1" applyAlignment="1">
      <alignment horizontal="center"/>
    </xf>
    <xf numFmtId="170" fontId="15" fillId="0" borderId="38" xfId="0" applyNumberFormat="1" applyFont="1" applyBorder="1" applyAlignment="1">
      <alignment horizontal="center" vertical="center"/>
    </xf>
    <xf numFmtId="165" fontId="15" fillId="0" borderId="38" xfId="3" applyFont="1" applyFill="1" applyBorder="1" applyAlignment="1">
      <alignment horizontal="center" vertical="center"/>
    </xf>
    <xf numFmtId="167" fontId="15" fillId="0" borderId="27" xfId="0" applyNumberFormat="1" applyFont="1" applyBorder="1" applyAlignment="1">
      <alignment horizontal="center" vertical="center" wrapText="1"/>
    </xf>
    <xf numFmtId="0" fontId="10" fillId="0" borderId="11" xfId="0" applyFont="1" applyBorder="1" applyAlignment="1">
      <alignment vertical="center"/>
    </xf>
    <xf numFmtId="0" fontId="10" fillId="0" borderId="37" xfId="0" applyFont="1" applyBorder="1" applyAlignment="1">
      <alignment horizontal="center" vertical="center"/>
    </xf>
    <xf numFmtId="0" fontId="10" fillId="0" borderId="34" xfId="0" applyFont="1" applyBorder="1" applyAlignment="1">
      <alignment horizontal="center" vertical="center"/>
    </xf>
    <xf numFmtId="1" fontId="14" fillId="3" borderId="24" xfId="5" applyNumberFormat="1" applyFont="1" applyFill="1" applyBorder="1" applyAlignment="1">
      <alignment horizontal="center" vertical="center" wrapText="1"/>
    </xf>
    <xf numFmtId="0" fontId="15" fillId="0" borderId="34" xfId="0" applyFont="1" applyBorder="1" applyAlignment="1">
      <alignment horizontal="center" vertical="center" wrapText="1"/>
    </xf>
    <xf numFmtId="1" fontId="15" fillId="0" borderId="34" xfId="0" applyNumberFormat="1" applyFont="1" applyBorder="1" applyAlignment="1">
      <alignment horizontal="center" vertical="center" wrapText="1"/>
    </xf>
    <xf numFmtId="9" fontId="15" fillId="0" borderId="1" xfId="0" applyNumberFormat="1" applyFont="1" applyBorder="1" applyAlignment="1">
      <alignment horizontal="center" vertical="center" wrapText="1"/>
    </xf>
    <xf numFmtId="1" fontId="15" fillId="0" borderId="1" xfId="0" applyNumberFormat="1" applyFont="1" applyBorder="1" applyAlignment="1">
      <alignment horizontal="center" vertical="center" wrapText="1"/>
    </xf>
    <xf numFmtId="170" fontId="15" fillId="0" borderId="1" xfId="0" applyNumberFormat="1" applyFont="1" applyBorder="1" applyAlignment="1">
      <alignment horizontal="center" vertical="center" wrapText="1"/>
    </xf>
    <xf numFmtId="165" fontId="15" fillId="0" borderId="1" xfId="3" applyFont="1" applyBorder="1" applyAlignment="1">
      <alignment horizontal="center" vertical="center" wrapText="1"/>
    </xf>
    <xf numFmtId="1" fontId="15" fillId="0" borderId="34" xfId="0" applyNumberFormat="1" applyFont="1" applyBorder="1" applyAlignment="1">
      <alignment horizontal="center" vertical="center"/>
    </xf>
    <xf numFmtId="1" fontId="14" fillId="3" borderId="1" xfId="5" applyNumberFormat="1" applyFont="1" applyFill="1" applyBorder="1" applyAlignment="1">
      <alignment horizontal="center" vertical="center"/>
    </xf>
    <xf numFmtId="0" fontId="10" fillId="0" borderId="39" xfId="0" applyFont="1" applyBorder="1" applyAlignment="1">
      <alignment vertical="center"/>
    </xf>
    <xf numFmtId="1" fontId="22" fillId="0" borderId="1" xfId="0" applyNumberFormat="1" applyFont="1" applyBorder="1" applyAlignment="1">
      <alignment horizontal="center" vertical="center"/>
    </xf>
    <xf numFmtId="0" fontId="10" fillId="0" borderId="46" xfId="0" applyFont="1" applyBorder="1" applyAlignment="1">
      <alignment vertical="center"/>
    </xf>
    <xf numFmtId="0" fontId="10" fillId="0" borderId="41" xfId="0" applyFont="1" applyBorder="1" applyAlignment="1">
      <alignment vertical="center"/>
    </xf>
    <xf numFmtId="0" fontId="10" fillId="0" borderId="41" xfId="0" applyFont="1" applyBorder="1" applyAlignment="1">
      <alignment vertical="center" wrapText="1"/>
    </xf>
    <xf numFmtId="0" fontId="10" fillId="0" borderId="41" xfId="0" applyFont="1" applyBorder="1" applyAlignment="1">
      <alignment horizontal="center" vertical="center"/>
    </xf>
    <xf numFmtId="1" fontId="10" fillId="0" borderId="41" xfId="0" applyNumberFormat="1" applyFont="1" applyBorder="1" applyAlignment="1">
      <alignment horizontal="center" vertical="center"/>
    </xf>
    <xf numFmtId="170" fontId="10" fillId="0" borderId="41" xfId="0" applyNumberFormat="1" applyFont="1" applyBorder="1" applyAlignment="1">
      <alignment vertical="center"/>
    </xf>
    <xf numFmtId="165" fontId="10" fillId="0" borderId="41" xfId="3" applyFont="1" applyFill="1" applyBorder="1" applyAlignment="1">
      <alignment horizontal="right" vertical="center"/>
    </xf>
    <xf numFmtId="165" fontId="10" fillId="0" borderId="41" xfId="0" applyNumberFormat="1" applyFont="1" applyBorder="1" applyAlignment="1">
      <alignment horizontal="right" vertical="center" wrapText="1"/>
    </xf>
    <xf numFmtId="167" fontId="10" fillId="0" borderId="47" xfId="3" applyNumberFormat="1" applyFont="1" applyFill="1" applyBorder="1" applyAlignment="1">
      <alignment vertical="center" wrapText="1"/>
    </xf>
    <xf numFmtId="1" fontId="10" fillId="0" borderId="39" xfId="0" applyNumberFormat="1" applyFont="1" applyBorder="1" applyAlignment="1">
      <alignment horizontal="center" vertical="center"/>
    </xf>
    <xf numFmtId="170" fontId="10" fillId="0" borderId="39" xfId="0" applyNumberFormat="1" applyFont="1" applyBorder="1" applyAlignment="1">
      <alignment vertical="center"/>
    </xf>
    <xf numFmtId="165" fontId="10" fillId="0" borderId="39" xfId="3" applyFont="1" applyFill="1" applyBorder="1" applyAlignment="1">
      <alignment horizontal="right" vertical="center"/>
    </xf>
    <xf numFmtId="165" fontId="10" fillId="0" borderId="39" xfId="0" applyNumberFormat="1" applyFont="1" applyBorder="1" applyAlignment="1">
      <alignment horizontal="right" vertical="center" wrapText="1"/>
    </xf>
    <xf numFmtId="167" fontId="10" fillId="0" borderId="42" xfId="3" applyNumberFormat="1" applyFont="1" applyFill="1" applyBorder="1" applyAlignment="1">
      <alignment vertical="center" wrapText="1"/>
    </xf>
    <xf numFmtId="0" fontId="15" fillId="0" borderId="11" xfId="0" applyFont="1" applyBorder="1" applyAlignment="1">
      <alignment horizontal="center" vertical="center"/>
    </xf>
    <xf numFmtId="0" fontId="13" fillId="6" borderId="24" xfId="0" applyFont="1" applyFill="1" applyBorder="1" applyAlignment="1">
      <alignment horizontal="left" vertical="center"/>
    </xf>
    <xf numFmtId="0" fontId="13" fillId="6" borderId="35" xfId="0" applyFont="1" applyFill="1" applyBorder="1" applyAlignment="1">
      <alignment horizontal="center" vertical="center"/>
    </xf>
    <xf numFmtId="9" fontId="13" fillId="6" borderId="4" xfId="0" applyNumberFormat="1" applyFont="1" applyFill="1" applyBorder="1" applyAlignment="1">
      <alignment horizontal="center" vertical="center" wrapText="1"/>
    </xf>
    <xf numFmtId="168" fontId="13" fillId="6" borderId="13" xfId="0" applyNumberFormat="1" applyFont="1" applyFill="1" applyBorder="1" applyAlignment="1">
      <alignment horizontal="center" vertical="center" wrapText="1"/>
    </xf>
    <xf numFmtId="0" fontId="13" fillId="6" borderId="14" xfId="0" applyFont="1" applyFill="1" applyBorder="1" applyAlignment="1">
      <alignment horizontal="left" vertical="center"/>
    </xf>
    <xf numFmtId="9" fontId="13" fillId="6" borderId="1" xfId="0" applyNumberFormat="1" applyFont="1" applyFill="1" applyBorder="1" applyAlignment="1">
      <alignment horizontal="center" vertical="center" wrapText="1"/>
    </xf>
    <xf numFmtId="168" fontId="13" fillId="6" borderId="12" xfId="0" applyNumberFormat="1" applyFont="1" applyFill="1" applyBorder="1" applyAlignment="1">
      <alignment horizontal="center" vertical="center" wrapText="1"/>
    </xf>
    <xf numFmtId="0" fontId="13" fillId="6" borderId="28" xfId="0" applyFont="1" applyFill="1" applyBorder="1" applyAlignment="1">
      <alignment horizontal="left" vertical="center"/>
    </xf>
    <xf numFmtId="0" fontId="13" fillId="6" borderId="29" xfId="0" applyFont="1" applyFill="1" applyBorder="1" applyAlignment="1">
      <alignment horizontal="right" vertical="center"/>
    </xf>
    <xf numFmtId="0" fontId="13" fillId="6" borderId="30" xfId="0" applyFont="1" applyFill="1" applyBorder="1" applyAlignment="1">
      <alignment horizontal="right" vertical="center"/>
    </xf>
    <xf numFmtId="9" fontId="13" fillId="6" borderId="31" xfId="0" applyNumberFormat="1" applyFont="1" applyFill="1" applyBorder="1" applyAlignment="1">
      <alignment horizontal="center" vertical="center" wrapText="1"/>
    </xf>
    <xf numFmtId="168" fontId="13" fillId="6" borderId="32" xfId="0" applyNumberFormat="1" applyFont="1" applyFill="1" applyBorder="1" applyAlignment="1">
      <alignment horizontal="center" vertical="center" wrapText="1"/>
    </xf>
    <xf numFmtId="0" fontId="12" fillId="0" borderId="36" xfId="0" applyFont="1" applyBorder="1" applyAlignment="1">
      <alignment horizontal="center" vertical="center"/>
    </xf>
    <xf numFmtId="0" fontId="13" fillId="5" borderId="19" xfId="0" applyFont="1" applyFill="1" applyBorder="1" applyAlignment="1">
      <alignment horizontal="center" vertical="center"/>
    </xf>
    <xf numFmtId="0" fontId="13" fillId="5" borderId="22" xfId="0" applyFont="1" applyFill="1" applyBorder="1" applyAlignment="1">
      <alignment horizontal="center" vertical="center" wrapText="1"/>
    </xf>
    <xf numFmtId="0" fontId="0" fillId="3" borderId="10" xfId="0" applyFill="1" applyBorder="1"/>
    <xf numFmtId="43" fontId="0" fillId="3" borderId="16" xfId="0" applyNumberFormat="1" applyFill="1" applyBorder="1"/>
    <xf numFmtId="0" fontId="0" fillId="3" borderId="16" xfId="0" applyFill="1" applyBorder="1"/>
    <xf numFmtId="0" fontId="0" fillId="3" borderId="17" xfId="0" applyFill="1" applyBorder="1"/>
    <xf numFmtId="165" fontId="16" fillId="3" borderId="27" xfId="3" applyFont="1" applyFill="1" applyBorder="1"/>
    <xf numFmtId="170" fontId="14" fillId="3" borderId="37" xfId="5" applyNumberFormat="1" applyFont="1" applyFill="1" applyBorder="1" applyAlignment="1">
      <alignment horizontal="center" vertical="center"/>
    </xf>
    <xf numFmtId="0" fontId="15" fillId="0" borderId="1" xfId="0" applyFont="1" applyBorder="1" applyAlignment="1">
      <alignment horizontal="left" vertical="center"/>
    </xf>
    <xf numFmtId="0" fontId="13" fillId="6" borderId="39" xfId="0" applyFont="1" applyFill="1" applyBorder="1" applyAlignment="1">
      <alignment vertical="center"/>
    </xf>
    <xf numFmtId="0" fontId="10" fillId="8" borderId="1" xfId="0" applyFont="1" applyFill="1" applyBorder="1" applyAlignment="1">
      <alignment vertical="center"/>
    </xf>
    <xf numFmtId="0" fontId="15" fillId="0" borderId="38" xfId="0" applyFont="1" applyBorder="1" applyAlignment="1">
      <alignment horizontal="right" vertical="center"/>
    </xf>
    <xf numFmtId="0" fontId="15" fillId="0" borderId="1" xfId="0" applyFont="1" applyBorder="1"/>
    <xf numFmtId="0" fontId="15" fillId="0" borderId="1" xfId="0" applyFont="1" applyBorder="1" applyAlignment="1">
      <alignment wrapText="1"/>
    </xf>
    <xf numFmtId="2" fontId="15" fillId="0" borderId="1" xfId="0" applyNumberFormat="1" applyFont="1" applyBorder="1" applyAlignment="1">
      <alignment horizontal="center" vertical="center"/>
    </xf>
    <xf numFmtId="0" fontId="26" fillId="2" borderId="2" xfId="0" applyFont="1" applyFill="1" applyBorder="1" applyAlignment="1">
      <alignment horizontal="center" vertical="center" wrapText="1"/>
    </xf>
    <xf numFmtId="1" fontId="12" fillId="3" borderId="37" xfId="5" applyNumberFormat="1" applyFont="1" applyFill="1" applyBorder="1" applyAlignment="1">
      <alignment horizontal="center" vertical="center"/>
    </xf>
    <xf numFmtId="1" fontId="12" fillId="3" borderId="34" xfId="5" applyNumberFormat="1" applyFont="1" applyFill="1" applyBorder="1" applyAlignment="1">
      <alignment horizontal="center" vertical="center"/>
    </xf>
    <xf numFmtId="0" fontId="10" fillId="3" borderId="0" xfId="5" applyFont="1" applyFill="1" applyBorder="1" applyAlignment="1">
      <alignment horizontal="left" vertical="center" wrapText="1"/>
    </xf>
    <xf numFmtId="0" fontId="10" fillId="0" borderId="1" xfId="0" applyFont="1" applyBorder="1" applyAlignment="1">
      <alignment horizontal="center" vertical="center"/>
    </xf>
    <xf numFmtId="1" fontId="12" fillId="0" borderId="1" xfId="5" applyNumberFormat="1" applyFont="1" applyFill="1" applyBorder="1" applyAlignment="1">
      <alignment horizontal="center" vertical="center"/>
    </xf>
    <xf numFmtId="1" fontId="12" fillId="0" borderId="40" xfId="5" applyNumberFormat="1" applyFont="1" applyFill="1" applyBorder="1" applyAlignment="1">
      <alignment horizontal="center" vertical="center"/>
    </xf>
    <xf numFmtId="1" fontId="12" fillId="3" borderId="39" xfId="5" applyNumberFormat="1" applyFont="1" applyFill="1" applyBorder="1" applyAlignment="1">
      <alignment horizontal="center" vertical="center" wrapText="1"/>
    </xf>
    <xf numFmtId="1" fontId="12" fillId="3" borderId="34" xfId="5" applyNumberFormat="1" applyFont="1" applyFill="1" applyBorder="1" applyAlignment="1">
      <alignment horizontal="center" vertical="center" wrapText="1"/>
    </xf>
    <xf numFmtId="0" fontId="10" fillId="0" borderId="40" xfId="0" applyFont="1" applyBorder="1" applyAlignment="1">
      <alignment horizontal="center" vertical="center"/>
    </xf>
    <xf numFmtId="0" fontId="13" fillId="5" borderId="39" xfId="0" applyFont="1" applyFill="1" applyBorder="1" applyAlignment="1">
      <alignment horizontal="center" vertical="center"/>
    </xf>
    <xf numFmtId="0" fontId="10" fillId="7" borderId="39" xfId="0" applyFont="1" applyFill="1" applyBorder="1" applyAlignment="1">
      <alignment horizontal="center" vertical="center"/>
    </xf>
    <xf numFmtId="0" fontId="10" fillId="3" borderId="0" xfId="5" applyFont="1" applyFill="1" applyBorder="1" applyAlignment="1">
      <alignment horizontal="center" vertical="center" wrapText="1"/>
    </xf>
    <xf numFmtId="1" fontId="12" fillId="3" borderId="1" xfId="5" applyNumberFormat="1" applyFont="1" applyFill="1" applyBorder="1" applyAlignment="1">
      <alignment horizontal="center" vertical="center" wrapText="1"/>
    </xf>
    <xf numFmtId="0" fontId="10" fillId="0" borderId="39" xfId="0" applyFont="1" applyBorder="1" applyAlignment="1">
      <alignment horizontal="center" vertical="center"/>
    </xf>
    <xf numFmtId="0" fontId="13" fillId="6" borderId="5" xfId="0" applyFont="1" applyFill="1" applyBorder="1" applyAlignment="1">
      <alignment horizontal="center" vertical="center"/>
    </xf>
    <xf numFmtId="0" fontId="13" fillId="6" borderId="29" xfId="0" applyFont="1" applyFill="1" applyBorder="1" applyAlignment="1">
      <alignment horizontal="center" vertical="center"/>
    </xf>
    <xf numFmtId="0" fontId="25" fillId="3" borderId="0" xfId="0" applyFont="1" applyFill="1" applyAlignment="1">
      <alignment horizontal="center" vertical="center"/>
    </xf>
    <xf numFmtId="0" fontId="10" fillId="0" borderId="43" xfId="0" applyFont="1" applyBorder="1" applyAlignment="1">
      <alignment horizontal="center" vertical="center"/>
    </xf>
    <xf numFmtId="0" fontId="15" fillId="0" borderId="38" xfId="0" applyFont="1" applyBorder="1" applyAlignment="1">
      <alignment horizontal="left" vertical="center" wrapText="1"/>
    </xf>
    <xf numFmtId="0" fontId="23" fillId="0" borderId="38" xfId="0" applyFont="1" applyBorder="1" applyAlignment="1">
      <alignment horizontal="left" vertical="center"/>
    </xf>
    <xf numFmtId="0" fontId="23" fillId="0" borderId="43" xfId="0" applyFont="1" applyBorder="1" applyAlignment="1">
      <alignment horizontal="left" vertical="center"/>
    </xf>
    <xf numFmtId="0" fontId="23" fillId="0" borderId="38" xfId="0" applyFont="1" applyBorder="1" applyAlignment="1">
      <alignment horizontal="left" vertical="center" wrapText="1"/>
    </xf>
    <xf numFmtId="170" fontId="15" fillId="0" borderId="37" xfId="0" applyNumberFormat="1" applyFont="1" applyBorder="1" applyAlignment="1">
      <alignment horizontal="center" vertical="center"/>
    </xf>
    <xf numFmtId="0" fontId="17" fillId="5" borderId="39" xfId="0" applyFont="1" applyFill="1" applyBorder="1" applyAlignment="1">
      <alignment horizontal="center" vertical="center"/>
    </xf>
    <xf numFmtId="0" fontId="13" fillId="5" borderId="41" xfId="0" applyFont="1" applyFill="1" applyBorder="1" applyAlignment="1">
      <alignment horizontal="center" vertical="center" wrapText="1"/>
    </xf>
    <xf numFmtId="170" fontId="13" fillId="5" borderId="39" xfId="0" applyNumberFormat="1" applyFont="1" applyFill="1" applyBorder="1" applyAlignment="1">
      <alignment vertical="center"/>
    </xf>
    <xf numFmtId="0" fontId="13" fillId="6" borderId="40" xfId="0" applyFont="1" applyFill="1" applyBorder="1" applyAlignment="1">
      <alignment horizontal="center" vertical="center" wrapText="1"/>
    </xf>
    <xf numFmtId="170" fontId="15" fillId="0" borderId="1" xfId="3" applyNumberFormat="1" applyFont="1" applyBorder="1" applyAlignment="1">
      <alignment horizontal="center" vertical="center"/>
    </xf>
    <xf numFmtId="170" fontId="15" fillId="0" borderId="1" xfId="3" applyNumberFormat="1" applyFont="1" applyFill="1" applyBorder="1" applyAlignment="1">
      <alignment horizontal="center" vertical="center"/>
    </xf>
    <xf numFmtId="0" fontId="15" fillId="0" borderId="1" xfId="0" applyFont="1" applyBorder="1" applyAlignment="1">
      <alignment horizontal="left" vertical="center" wrapText="1"/>
    </xf>
    <xf numFmtId="0" fontId="10" fillId="0" borderId="34"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40" xfId="0" applyFont="1" applyBorder="1" applyAlignment="1">
      <alignment horizontal="center" vertical="center" wrapText="1"/>
    </xf>
    <xf numFmtId="0" fontId="15" fillId="0" borderId="1" xfId="0" applyFont="1" applyBorder="1" applyAlignment="1">
      <alignment horizontal="center" vertical="center" wrapText="1"/>
    </xf>
    <xf numFmtId="0" fontId="10" fillId="8" borderId="40" xfId="0" applyFont="1" applyFill="1" applyBorder="1" applyAlignment="1">
      <alignment horizontal="left" vertical="center"/>
    </xf>
    <xf numFmtId="0" fontId="8" fillId="8" borderId="43" xfId="0" applyFont="1" applyFill="1" applyBorder="1" applyAlignment="1">
      <alignment horizontal="left" vertical="center"/>
    </xf>
    <xf numFmtId="0" fontId="10" fillId="0" borderId="38" xfId="0" applyFont="1" applyBorder="1" applyAlignment="1">
      <alignment horizontal="left" vertical="center" wrapText="1"/>
    </xf>
    <xf numFmtId="1" fontId="12" fillId="0" borderId="1" xfId="5" applyNumberFormat="1" applyFont="1" applyFill="1" applyBorder="1" applyAlignment="1">
      <alignment horizontal="center" vertical="center" wrapText="1"/>
    </xf>
    <xf numFmtId="1" fontId="12" fillId="0" borderId="40" xfId="5" applyNumberFormat="1" applyFont="1" applyFill="1" applyBorder="1" applyAlignment="1">
      <alignment horizontal="center" vertical="center" wrapText="1"/>
    </xf>
    <xf numFmtId="1" fontId="12" fillId="3" borderId="37" xfId="5" applyNumberFormat="1" applyFont="1" applyFill="1" applyBorder="1" applyAlignment="1">
      <alignment horizontal="center" vertical="center" wrapText="1"/>
    </xf>
    <xf numFmtId="0" fontId="10" fillId="0" borderId="40" xfId="0" applyFont="1" applyBorder="1" applyAlignment="1">
      <alignment vertical="center" wrapText="1"/>
    </xf>
    <xf numFmtId="0" fontId="13" fillId="5" borderId="39" xfId="0" applyFont="1" applyFill="1" applyBorder="1" applyAlignment="1">
      <alignment horizontal="center" vertical="center" wrapText="1"/>
    </xf>
    <xf numFmtId="1" fontId="13" fillId="5" borderId="39" xfId="0" applyNumberFormat="1" applyFont="1" applyFill="1" applyBorder="1" applyAlignment="1">
      <alignment vertical="center"/>
    </xf>
    <xf numFmtId="0" fontId="15" fillId="3" borderId="38" xfId="0" applyFont="1" applyFill="1" applyBorder="1" applyAlignment="1">
      <alignment horizontal="left" vertical="center" wrapText="1"/>
    </xf>
    <xf numFmtId="0" fontId="15" fillId="3" borderId="38" xfId="0" applyFont="1" applyFill="1" applyBorder="1" applyAlignment="1">
      <alignment horizontal="center" vertical="center"/>
    </xf>
    <xf numFmtId="1" fontId="15" fillId="3" borderId="1" xfId="0" applyNumberFormat="1" applyFont="1" applyFill="1" applyBorder="1" applyAlignment="1">
      <alignment horizontal="center" vertical="center"/>
    </xf>
    <xf numFmtId="171" fontId="15" fillId="0" borderId="1" xfId="0" applyNumberFormat="1" applyFont="1" applyBorder="1" applyAlignment="1">
      <alignment horizontal="center" vertical="center"/>
    </xf>
    <xf numFmtId="0" fontId="15" fillId="0" borderId="11" xfId="0" applyFont="1" applyBorder="1" applyAlignment="1">
      <alignment vertical="center"/>
    </xf>
    <xf numFmtId="0" fontId="15" fillId="0" borderId="1" xfId="0" applyFont="1" applyBorder="1" applyAlignment="1">
      <alignment vertical="center"/>
    </xf>
    <xf numFmtId="0" fontId="15" fillId="0" borderId="40" xfId="0" applyFont="1" applyBorder="1" applyAlignment="1">
      <alignment vertical="center"/>
    </xf>
    <xf numFmtId="0" fontId="15" fillId="0" borderId="40" xfId="0" applyFont="1" applyBorder="1" applyAlignment="1">
      <alignment horizontal="center" vertical="center"/>
    </xf>
    <xf numFmtId="0" fontId="28" fillId="0" borderId="40" xfId="5" applyFont="1" applyFill="1" applyBorder="1" applyAlignment="1">
      <alignment horizontal="left" vertical="top" wrapText="1"/>
    </xf>
    <xf numFmtId="0" fontId="9" fillId="0" borderId="34" xfId="5" applyFont="1" applyFill="1" applyBorder="1" applyAlignment="1">
      <alignment horizontal="center" vertical="center" wrapText="1"/>
    </xf>
    <xf numFmtId="165" fontId="14" fillId="3" borderId="1" xfId="7" applyFont="1" applyFill="1" applyBorder="1" applyAlignment="1" applyProtection="1">
      <alignment horizontal="center" vertical="center"/>
    </xf>
    <xf numFmtId="0" fontId="10" fillId="3" borderId="1" xfId="0" applyFont="1" applyFill="1" applyBorder="1" applyAlignment="1">
      <alignment vertical="center"/>
    </xf>
    <xf numFmtId="0" fontId="29" fillId="0" borderId="48" xfId="5" applyFont="1" applyFill="1" applyBorder="1" applyAlignment="1">
      <alignment horizontal="center" vertical="center" wrapText="1"/>
    </xf>
    <xf numFmtId="0" fontId="14" fillId="3" borderId="34" xfId="5" applyFont="1" applyFill="1" applyBorder="1" applyAlignment="1">
      <alignment horizontal="center" vertical="center"/>
    </xf>
    <xf numFmtId="0" fontId="15" fillId="0" borderId="40" xfId="0" applyFont="1" applyBorder="1" applyAlignment="1">
      <alignment horizontal="center" vertical="center" wrapText="1"/>
    </xf>
    <xf numFmtId="0" fontId="28" fillId="0" borderId="1" xfId="5" applyFont="1" applyFill="1" applyBorder="1" applyAlignment="1">
      <alignment horizontal="left" vertical="top" wrapText="1"/>
    </xf>
    <xf numFmtId="0" fontId="14" fillId="3" borderId="38" xfId="5" applyFont="1" applyFill="1" applyBorder="1" applyAlignment="1">
      <alignment horizontal="center" vertical="center"/>
    </xf>
    <xf numFmtId="0" fontId="14" fillId="3" borderId="1" xfId="5" applyFont="1" applyFill="1" applyBorder="1" applyAlignment="1">
      <alignment horizontal="center" vertical="center"/>
    </xf>
    <xf numFmtId="1" fontId="14" fillId="3" borderId="1" xfId="5" applyNumberFormat="1" applyFont="1" applyFill="1" applyBorder="1" applyAlignment="1">
      <alignment horizontal="center" vertical="center" wrapText="1"/>
    </xf>
    <xf numFmtId="0" fontId="14" fillId="0" borderId="1" xfId="5" applyFont="1" applyFill="1" applyBorder="1" applyAlignment="1">
      <alignment horizontal="center" vertical="center"/>
    </xf>
    <xf numFmtId="0" fontId="22" fillId="0" borderId="39" xfId="0" applyFont="1" applyBorder="1" applyAlignment="1">
      <alignment horizontal="center" vertical="center"/>
    </xf>
    <xf numFmtId="165" fontId="14" fillId="0" borderId="1" xfId="7" applyFont="1" applyFill="1" applyBorder="1" applyAlignment="1" applyProtection="1">
      <alignment horizontal="center" vertical="center"/>
    </xf>
    <xf numFmtId="0" fontId="12" fillId="0" borderId="34" xfId="0" applyFont="1" applyBorder="1" applyAlignment="1">
      <alignment horizontal="center" vertical="center"/>
    </xf>
    <xf numFmtId="1" fontId="14" fillId="3" borderId="39" xfId="5" applyNumberFormat="1" applyFont="1" applyFill="1" applyBorder="1" applyAlignment="1">
      <alignment horizontal="center" vertical="center"/>
    </xf>
    <xf numFmtId="9" fontId="14" fillId="3" borderId="1" xfId="6" applyFont="1" applyFill="1" applyBorder="1" applyAlignment="1">
      <alignment horizontal="center" vertical="center"/>
    </xf>
    <xf numFmtId="164" fontId="14" fillId="3" borderId="1" xfId="5" applyNumberFormat="1" applyFont="1" applyFill="1" applyBorder="1" applyAlignment="1">
      <alignment horizontal="center" vertical="center"/>
    </xf>
    <xf numFmtId="0" fontId="14" fillId="3" borderId="37" xfId="5" applyFont="1" applyFill="1" applyBorder="1" applyAlignment="1">
      <alignment horizontal="center" vertical="center"/>
    </xf>
    <xf numFmtId="1" fontId="14" fillId="3" borderId="7" xfId="5" applyNumberFormat="1" applyFont="1" applyFill="1" applyBorder="1" applyAlignment="1">
      <alignment vertical="center"/>
    </xf>
    <xf numFmtId="1" fontId="14" fillId="0" borderId="1" xfId="5" applyNumberFormat="1" applyFont="1" applyFill="1" applyBorder="1" applyAlignment="1">
      <alignment horizontal="center" vertical="center"/>
    </xf>
    <xf numFmtId="1" fontId="14" fillId="0" borderId="40" xfId="5" applyNumberFormat="1" applyFont="1" applyFill="1" applyBorder="1" applyAlignment="1">
      <alignment horizontal="center" vertical="center"/>
    </xf>
    <xf numFmtId="9" fontId="14" fillId="0" borderId="1" xfId="6" applyFont="1" applyFill="1" applyBorder="1" applyAlignment="1">
      <alignment horizontal="center" vertical="center"/>
    </xf>
    <xf numFmtId="1" fontId="14" fillId="3" borderId="34" xfId="5" applyNumberFormat="1" applyFont="1" applyFill="1" applyBorder="1" applyAlignment="1">
      <alignment horizontal="center" vertical="center" wrapText="1"/>
    </xf>
    <xf numFmtId="0" fontId="15" fillId="0" borderId="7" xfId="0" applyFont="1" applyBorder="1" applyAlignment="1">
      <alignment horizontal="center" vertical="center"/>
    </xf>
    <xf numFmtId="0" fontId="15" fillId="0" borderId="38" xfId="0" applyFont="1" applyBorder="1" applyAlignment="1">
      <alignment horizontal="center" vertical="center"/>
    </xf>
    <xf numFmtId="0" fontId="15" fillId="0" borderId="7" xfId="0" applyFont="1" applyBorder="1" applyAlignment="1">
      <alignment horizontal="center" vertical="center" wrapText="1"/>
    </xf>
    <xf numFmtId="0" fontId="15" fillId="0" borderId="38" xfId="0" applyFont="1" applyBorder="1" applyAlignment="1">
      <alignment horizontal="center" vertical="center" wrapText="1"/>
    </xf>
    <xf numFmtId="1" fontId="12" fillId="3" borderId="7" xfId="5" applyNumberFormat="1" applyFont="1" applyFill="1" applyBorder="1" applyAlignment="1">
      <alignment horizontal="center" vertical="center" wrapText="1"/>
    </xf>
    <xf numFmtId="1" fontId="12" fillId="3" borderId="38" xfId="5" applyNumberFormat="1" applyFont="1" applyFill="1" applyBorder="1" applyAlignment="1">
      <alignment horizontal="center" vertical="center" wrapText="1"/>
    </xf>
    <xf numFmtId="1" fontId="12" fillId="3" borderId="38" xfId="5" applyNumberFormat="1" applyFont="1" applyFill="1" applyBorder="1" applyAlignment="1">
      <alignment horizontal="center" vertical="center"/>
    </xf>
    <xf numFmtId="0" fontId="13" fillId="6" borderId="5" xfId="0" applyFont="1" applyFill="1" applyBorder="1" applyAlignment="1">
      <alignment horizontal="right" vertical="center"/>
    </xf>
    <xf numFmtId="0" fontId="13" fillId="6" borderId="6" xfId="0" applyFont="1" applyFill="1" applyBorder="1" applyAlignment="1">
      <alignment horizontal="right" vertical="center"/>
    </xf>
    <xf numFmtId="0" fontId="13" fillId="6" borderId="40" xfId="0" applyFont="1" applyFill="1" applyBorder="1" applyAlignment="1">
      <alignment horizontal="center" vertical="center"/>
    </xf>
    <xf numFmtId="0" fontId="13" fillId="6" borderId="39" xfId="0" applyFont="1" applyFill="1" applyBorder="1" applyAlignment="1">
      <alignment horizontal="center" vertical="center"/>
    </xf>
    <xf numFmtId="0" fontId="10" fillId="0" borderId="38" xfId="0" applyFont="1" applyBorder="1" applyAlignment="1">
      <alignment horizontal="center" vertical="center"/>
    </xf>
    <xf numFmtId="1" fontId="12" fillId="3" borderId="1" xfId="5" applyNumberFormat="1" applyFont="1" applyFill="1" applyBorder="1" applyAlignment="1">
      <alignment horizontal="center" vertical="center"/>
    </xf>
    <xf numFmtId="0" fontId="13" fillId="6" borderId="34" xfId="0" applyFont="1" applyFill="1" applyBorder="1" applyAlignment="1">
      <alignment horizontal="center" vertical="center"/>
    </xf>
    <xf numFmtId="0" fontId="10" fillId="0" borderId="7" xfId="0" applyFont="1" applyBorder="1" applyAlignment="1">
      <alignment horizontal="center" vertical="center" wrapText="1"/>
    </xf>
    <xf numFmtId="0" fontId="23" fillId="0" borderId="40" xfId="0" applyFont="1" applyBorder="1" applyAlignment="1">
      <alignment vertical="center" wrapText="1"/>
    </xf>
    <xf numFmtId="0" fontId="23" fillId="0" borderId="34" xfId="0" applyFont="1" applyBorder="1" applyAlignment="1">
      <alignment vertical="center" wrapText="1"/>
    </xf>
    <xf numFmtId="0" fontId="23" fillId="0" borderId="1" xfId="0" applyFont="1" applyBorder="1" applyAlignment="1">
      <alignment vertical="center" wrapText="1"/>
    </xf>
    <xf numFmtId="0" fontId="15" fillId="0" borderId="44" xfId="0" applyFont="1" applyBorder="1" applyAlignment="1">
      <alignment horizontal="center" vertical="center"/>
    </xf>
    <xf numFmtId="1" fontId="12" fillId="0" borderId="7" xfId="5" applyNumberFormat="1" applyFont="1" applyFill="1" applyBorder="1" applyAlignment="1">
      <alignment horizontal="center" vertical="center"/>
    </xf>
    <xf numFmtId="172" fontId="2" fillId="2" borderId="2" xfId="0" applyNumberFormat="1" applyFont="1" applyFill="1" applyBorder="1" applyAlignment="1">
      <alignment horizontal="center" vertical="center" wrapText="1"/>
    </xf>
    <xf numFmtId="172" fontId="5" fillId="5" borderId="21" xfId="0" applyNumberFormat="1" applyFont="1" applyFill="1" applyBorder="1" applyAlignment="1">
      <alignment horizontal="center" vertical="center" wrapText="1"/>
    </xf>
    <xf numFmtId="172" fontId="13" fillId="5" borderId="39" xfId="0" applyNumberFormat="1" applyFont="1" applyFill="1" applyBorder="1" applyAlignment="1">
      <alignment vertical="center"/>
    </xf>
    <xf numFmtId="172" fontId="14" fillId="3" borderId="37" xfId="5" applyNumberFormat="1" applyFont="1" applyFill="1" applyBorder="1" applyAlignment="1">
      <alignment horizontal="center" vertical="center"/>
    </xf>
    <xf numFmtId="172" fontId="10" fillId="7" borderId="39" xfId="0" applyNumberFormat="1" applyFont="1" applyFill="1" applyBorder="1" applyAlignment="1">
      <alignment vertical="center"/>
    </xf>
    <xf numFmtId="172" fontId="15" fillId="0" borderId="1" xfId="0" applyNumberFormat="1" applyFont="1" applyBorder="1" applyAlignment="1">
      <alignment horizontal="center" vertical="center"/>
    </xf>
    <xf numFmtId="172" fontId="15" fillId="0" borderId="1" xfId="3" applyNumberFormat="1" applyFont="1" applyBorder="1" applyAlignment="1">
      <alignment horizontal="center" vertical="center"/>
    </xf>
    <xf numFmtId="172" fontId="15" fillId="0" borderId="38" xfId="0" applyNumberFormat="1" applyFont="1" applyBorder="1" applyAlignment="1">
      <alignment horizontal="center" vertical="center"/>
    </xf>
    <xf numFmtId="172" fontId="15" fillId="0" borderId="1" xfId="0" applyNumberFormat="1" applyFont="1" applyBorder="1" applyAlignment="1">
      <alignment horizontal="center" vertical="center" wrapText="1"/>
    </xf>
    <xf numFmtId="172" fontId="15" fillId="0" borderId="1" xfId="3" applyNumberFormat="1" applyFont="1" applyFill="1" applyBorder="1" applyAlignment="1">
      <alignment horizontal="center" vertical="center"/>
    </xf>
    <xf numFmtId="172" fontId="10" fillId="0" borderId="41" xfId="0" applyNumberFormat="1" applyFont="1" applyBorder="1" applyAlignment="1">
      <alignment vertical="center"/>
    </xf>
    <xf numFmtId="172" fontId="10" fillId="0" borderId="39" xfId="0" applyNumberFormat="1" applyFont="1" applyBorder="1" applyAlignment="1">
      <alignment vertical="center"/>
    </xf>
    <xf numFmtId="172" fontId="15" fillId="0" borderId="37" xfId="0" applyNumberFormat="1" applyFont="1" applyBorder="1" applyAlignment="1">
      <alignment horizontal="center" vertical="center"/>
    </xf>
    <xf numFmtId="172" fontId="14" fillId="3" borderId="1" xfId="5" applyNumberFormat="1" applyFont="1" applyFill="1" applyBorder="1" applyAlignment="1">
      <alignment horizontal="center" vertical="center"/>
    </xf>
    <xf numFmtId="172" fontId="13" fillId="6" borderId="5" xfId="0" applyNumberFormat="1" applyFont="1" applyFill="1" applyBorder="1" applyAlignment="1">
      <alignment horizontal="right" vertical="center"/>
    </xf>
    <xf numFmtId="172" fontId="13" fillId="6" borderId="29" xfId="0" applyNumberFormat="1" applyFont="1" applyFill="1" applyBorder="1" applyAlignment="1">
      <alignment horizontal="right" vertical="center"/>
    </xf>
    <xf numFmtId="172" fontId="0" fillId="3" borderId="0" xfId="0" applyNumberFormat="1" applyFill="1" applyAlignment="1">
      <alignment horizontal="center" vertical="center"/>
    </xf>
    <xf numFmtId="170" fontId="2" fillId="2" borderId="2" xfId="0" applyNumberFormat="1" applyFont="1" applyFill="1" applyBorder="1" applyAlignment="1">
      <alignment horizontal="center" vertical="center" wrapText="1"/>
    </xf>
    <xf numFmtId="170" fontId="5" fillId="5" borderId="21" xfId="0" applyNumberFormat="1" applyFont="1" applyFill="1" applyBorder="1" applyAlignment="1">
      <alignment horizontal="center" vertical="center" wrapText="1"/>
    </xf>
    <xf numFmtId="170" fontId="10" fillId="7" borderId="39" xfId="0" applyNumberFormat="1" applyFont="1" applyFill="1" applyBorder="1" applyAlignment="1">
      <alignment vertical="center"/>
    </xf>
    <xf numFmtId="170" fontId="14" fillId="3" borderId="1" xfId="5" applyNumberFormat="1" applyFont="1" applyFill="1" applyBorder="1" applyAlignment="1">
      <alignment horizontal="center" vertical="center"/>
    </xf>
    <xf numFmtId="170" fontId="13" fillId="6" borderId="5" xfId="0" applyNumberFormat="1" applyFont="1" applyFill="1" applyBorder="1" applyAlignment="1">
      <alignment horizontal="right" vertical="center"/>
    </xf>
    <xf numFmtId="170" fontId="13" fillId="6" borderId="29" xfId="0" applyNumberFormat="1" applyFont="1" applyFill="1" applyBorder="1" applyAlignment="1">
      <alignment horizontal="right" vertical="center"/>
    </xf>
    <xf numFmtId="170" fontId="0" fillId="3" borderId="0" xfId="0" applyNumberFormat="1" applyFill="1" applyAlignment="1">
      <alignment horizontal="center" vertical="center"/>
    </xf>
    <xf numFmtId="173" fontId="7" fillId="3" borderId="10" xfId="0" applyNumberFormat="1" applyFont="1" applyFill="1" applyBorder="1" applyAlignment="1">
      <alignment horizontal="center" vertical="center" wrapText="1"/>
    </xf>
    <xf numFmtId="0" fontId="8" fillId="0" borderId="0" xfId="0" applyFont="1" applyAlignment="1">
      <alignment vertical="center"/>
    </xf>
    <xf numFmtId="0" fontId="8" fillId="0" borderId="0" xfId="0" applyFont="1" applyAlignment="1">
      <alignment horizontal="center" vertical="center"/>
    </xf>
    <xf numFmtId="0" fontId="16" fillId="3" borderId="0" xfId="0" applyFont="1" applyFill="1" applyAlignment="1">
      <alignment vertical="center"/>
    </xf>
    <xf numFmtId="0" fontId="18" fillId="3" borderId="0" xfId="0" applyFont="1" applyFill="1" applyAlignment="1">
      <alignment horizontal="center" vertical="center"/>
    </xf>
    <xf numFmtId="170" fontId="8" fillId="0" borderId="0" xfId="0" applyNumberFormat="1" applyFont="1" applyAlignment="1">
      <alignment vertical="center"/>
    </xf>
    <xf numFmtId="172" fontId="8" fillId="0" borderId="0" xfId="0" applyNumberFormat="1" applyFont="1" applyAlignment="1">
      <alignment vertical="center"/>
    </xf>
    <xf numFmtId="0" fontId="8" fillId="0" borderId="0" xfId="0" applyFont="1" applyAlignment="1">
      <alignment vertical="center" wrapText="1"/>
    </xf>
    <xf numFmtId="1" fontId="8" fillId="3" borderId="0" xfId="0" applyNumberFormat="1" applyFont="1" applyFill="1" applyAlignment="1">
      <alignment horizontal="left" vertical="center"/>
    </xf>
    <xf numFmtId="0" fontId="18" fillId="3" borderId="0" xfId="0" applyFont="1" applyFill="1" applyAlignment="1">
      <alignment horizontal="left" vertical="center" wrapText="1"/>
    </xf>
    <xf numFmtId="0" fontId="16" fillId="0" borderId="0" xfId="0" applyFont="1" applyAlignment="1">
      <alignment horizontal="center" vertical="center"/>
    </xf>
    <xf numFmtId="170" fontId="16" fillId="0" borderId="0" xfId="0" applyNumberFormat="1" applyFont="1" applyAlignment="1">
      <alignment horizontal="center" vertical="center"/>
    </xf>
    <xf numFmtId="172" fontId="16" fillId="0" borderId="0" xfId="0" applyNumberFormat="1" applyFont="1" applyAlignment="1">
      <alignment horizontal="center" vertical="center"/>
    </xf>
    <xf numFmtId="3" fontId="8" fillId="3" borderId="0" xfId="0" applyNumberFormat="1" applyFont="1" applyFill="1" applyAlignment="1">
      <alignment horizontal="left" vertical="center" wrapText="1"/>
    </xf>
    <xf numFmtId="0" fontId="7" fillId="3" borderId="0" xfId="0" applyFont="1" applyFill="1" applyAlignment="1">
      <alignment horizontal="center" vertical="center"/>
    </xf>
    <xf numFmtId="3" fontId="19" fillId="3" borderId="0" xfId="0" applyNumberFormat="1" applyFont="1" applyFill="1" applyAlignment="1">
      <alignment horizontal="left" vertical="center" wrapText="1"/>
    </xf>
    <xf numFmtId="0" fontId="20" fillId="3" borderId="0" xfId="0" applyFont="1" applyFill="1" applyAlignment="1">
      <alignment horizontal="right" vertical="center"/>
    </xf>
    <xf numFmtId="0" fontId="20" fillId="3" borderId="0" xfId="0" applyFont="1" applyFill="1" applyAlignment="1">
      <alignment horizontal="right" vertical="center" wrapText="1"/>
    </xf>
    <xf numFmtId="0" fontId="19" fillId="0" borderId="0" xfId="0" applyFont="1" applyAlignment="1">
      <alignment vertical="center" wrapText="1"/>
    </xf>
    <xf numFmtId="0" fontId="10" fillId="0" borderId="0" xfId="0" applyFont="1" applyAlignment="1">
      <alignment horizontal="center" vertical="center"/>
    </xf>
    <xf numFmtId="0" fontId="10" fillId="0" borderId="0" xfId="0" applyFont="1" applyAlignment="1">
      <alignment vertical="center"/>
    </xf>
    <xf numFmtId="170" fontId="10" fillId="0" borderId="0" xfId="0" applyNumberFormat="1" applyFont="1" applyAlignment="1">
      <alignment vertical="center"/>
    </xf>
    <xf numFmtId="172" fontId="10" fillId="0" borderId="0" xfId="0" applyNumberFormat="1" applyFont="1" applyAlignment="1">
      <alignment vertical="center"/>
    </xf>
    <xf numFmtId="165" fontId="10" fillId="0" borderId="0" xfId="0" applyNumberFormat="1" applyFont="1" applyAlignment="1">
      <alignment horizontal="right" vertical="center" wrapText="1"/>
    </xf>
    <xf numFmtId="1" fontId="15" fillId="0" borderId="0" xfId="0" applyNumberFormat="1" applyFont="1" applyAlignment="1">
      <alignment horizontal="center" vertical="center"/>
    </xf>
    <xf numFmtId="170" fontId="15" fillId="0" borderId="0" xfId="0" applyNumberFormat="1" applyFont="1" applyAlignment="1">
      <alignment horizontal="center" vertical="center"/>
    </xf>
    <xf numFmtId="172" fontId="15" fillId="0" borderId="0" xfId="0" applyNumberFormat="1" applyFont="1" applyAlignment="1">
      <alignment horizontal="center" vertical="center"/>
    </xf>
    <xf numFmtId="165" fontId="15" fillId="0" borderId="0" xfId="0" applyNumberFormat="1" applyFont="1" applyAlignment="1">
      <alignment horizontal="center" vertical="center" wrapText="1"/>
    </xf>
    <xf numFmtId="1" fontId="16" fillId="0" borderId="0" xfId="0" applyNumberFormat="1" applyFont="1" applyAlignment="1">
      <alignment horizontal="center" vertical="center"/>
    </xf>
    <xf numFmtId="0" fontId="27" fillId="3" borderId="0" xfId="0" applyFont="1" applyFill="1" applyAlignment="1">
      <alignment horizontal="center" vertical="center"/>
    </xf>
    <xf numFmtId="0" fontId="13" fillId="7" borderId="3" xfId="0" applyFont="1" applyFill="1" applyBorder="1" applyAlignment="1">
      <alignment horizontal="left" vertical="center"/>
    </xf>
    <xf numFmtId="3" fontId="13" fillId="7" borderId="2" xfId="0" applyNumberFormat="1" applyFont="1" applyFill="1" applyBorder="1" applyAlignment="1">
      <alignment horizontal="center"/>
    </xf>
    <xf numFmtId="167" fontId="10" fillId="7" borderId="2" xfId="0" applyNumberFormat="1" applyFont="1" applyFill="1" applyBorder="1" applyAlignment="1">
      <alignment horizontal="right"/>
    </xf>
    <xf numFmtId="0" fontId="0" fillId="7" borderId="49" xfId="0" applyFill="1" applyBorder="1"/>
    <xf numFmtId="9" fontId="13" fillId="6" borderId="0" xfId="0" applyNumberFormat="1" applyFont="1" applyFill="1" applyAlignment="1">
      <alignment horizontal="center" vertical="center"/>
    </xf>
    <xf numFmtId="0" fontId="14" fillId="0" borderId="50" xfId="0" applyFont="1" applyBorder="1" applyAlignment="1">
      <alignment vertical="center"/>
    </xf>
    <xf numFmtId="0" fontId="14" fillId="0" borderId="4" xfId="0" applyFont="1" applyBorder="1" applyAlignment="1">
      <alignment vertical="center"/>
    </xf>
    <xf numFmtId="0" fontId="13" fillId="5" borderId="9" xfId="0" applyFont="1" applyFill="1" applyBorder="1" applyAlignment="1">
      <alignment horizontal="center" vertical="center" wrapText="1"/>
    </xf>
    <xf numFmtId="167" fontId="15" fillId="0" borderId="51" xfId="0" applyNumberFormat="1" applyFont="1" applyBorder="1"/>
    <xf numFmtId="167" fontId="15" fillId="0" borderId="52" xfId="0" applyNumberFormat="1" applyFont="1" applyBorder="1"/>
    <xf numFmtId="165" fontId="16" fillId="3" borderId="51" xfId="3" applyFont="1" applyFill="1" applyBorder="1"/>
    <xf numFmtId="167" fontId="17" fillId="6" borderId="54" xfId="2" applyNumberFormat="1" applyFont="1" applyFill="1" applyBorder="1" applyAlignment="1">
      <alignment horizontal="center" vertical="center"/>
    </xf>
    <xf numFmtId="167" fontId="17" fillId="6" borderId="55" xfId="2" applyNumberFormat="1" applyFont="1" applyFill="1" applyBorder="1" applyAlignment="1">
      <alignment horizontal="center" vertical="center"/>
    </xf>
    <xf numFmtId="0" fontId="9" fillId="3" borderId="0" xfId="0" applyFont="1" applyFill="1" applyAlignment="1">
      <alignment horizontal="right" vertical="center"/>
    </xf>
    <xf numFmtId="3" fontId="10" fillId="3" borderId="0" xfId="0" applyNumberFormat="1" applyFont="1" applyFill="1" applyAlignment="1">
      <alignment vertical="center" wrapText="1"/>
    </xf>
    <xf numFmtId="0" fontId="11" fillId="3" borderId="0" xfId="0" applyFont="1" applyFill="1" applyAlignment="1">
      <alignment vertical="center" wrapText="1"/>
    </xf>
    <xf numFmtId="0" fontId="10" fillId="3" borderId="0" xfId="0" applyFont="1" applyFill="1" applyAlignment="1">
      <alignment horizontal="left" vertical="center" wrapText="1"/>
    </xf>
    <xf numFmtId="173" fontId="12" fillId="3" borderId="0" xfId="0" applyNumberFormat="1" applyFont="1" applyFill="1" applyAlignment="1">
      <alignment horizontal="left" vertical="center"/>
    </xf>
    <xf numFmtId="167" fontId="10" fillId="3" borderId="0" xfId="0" applyNumberFormat="1" applyFont="1" applyFill="1" applyAlignment="1">
      <alignment horizontal="right"/>
    </xf>
    <xf numFmtId="169" fontId="11" fillId="3" borderId="0" xfId="0" applyNumberFormat="1" applyFont="1" applyFill="1" applyAlignment="1">
      <alignment horizontal="left" vertical="center"/>
    </xf>
    <xf numFmtId="165" fontId="0" fillId="3" borderId="0" xfId="0" applyNumberFormat="1" applyFill="1"/>
    <xf numFmtId="0" fontId="13" fillId="6" borderId="3" xfId="0" applyFont="1" applyFill="1" applyBorder="1" applyAlignment="1">
      <alignment horizontal="center" vertical="center"/>
    </xf>
    <xf numFmtId="9" fontId="13" fillId="6" borderId="2" xfId="0" applyNumberFormat="1" applyFont="1" applyFill="1" applyBorder="1" applyAlignment="1">
      <alignment horizontal="center" vertical="center"/>
    </xf>
    <xf numFmtId="165" fontId="17" fillId="6" borderId="49" xfId="2" applyFont="1" applyFill="1" applyBorder="1" applyAlignment="1">
      <alignment horizontal="center" vertical="center"/>
    </xf>
    <xf numFmtId="0" fontId="13" fillId="6" borderId="58" xfId="0" applyFont="1" applyFill="1" applyBorder="1" applyAlignment="1">
      <alignment vertical="center" wrapText="1"/>
    </xf>
    <xf numFmtId="166" fontId="13" fillId="6" borderId="59" xfId="0" applyNumberFormat="1" applyFont="1" applyFill="1" applyBorder="1" applyAlignment="1">
      <alignment horizontal="center" vertical="center" wrapText="1"/>
    </xf>
    <xf numFmtId="168" fontId="13" fillId="7" borderId="61" xfId="0" applyNumberFormat="1" applyFont="1" applyFill="1" applyBorder="1" applyAlignment="1">
      <alignment horizontal="center" vertical="center" wrapText="1"/>
    </xf>
    <xf numFmtId="165" fontId="14" fillId="0" borderId="11" xfId="3" applyFont="1" applyBorder="1" applyAlignment="1">
      <alignment horizontal="center" vertical="center"/>
    </xf>
    <xf numFmtId="165" fontId="14" fillId="0" borderId="12" xfId="3" applyFont="1" applyBorder="1" applyAlignment="1">
      <alignment horizontal="center" vertical="center"/>
    </xf>
    <xf numFmtId="165" fontId="14" fillId="0" borderId="36" xfId="3" applyFont="1" applyFill="1" applyBorder="1" applyAlignment="1">
      <alignment horizontal="center" vertical="center"/>
    </xf>
    <xf numFmtId="165" fontId="14" fillId="0" borderId="27" xfId="3" applyFont="1" applyFill="1" applyBorder="1" applyAlignment="1">
      <alignment horizontal="center" vertical="center"/>
    </xf>
    <xf numFmtId="0" fontId="20" fillId="5" borderId="62" xfId="0" applyFont="1" applyFill="1" applyBorder="1" applyAlignment="1">
      <alignment horizontal="center" vertical="center" wrapText="1"/>
    </xf>
    <xf numFmtId="0" fontId="20" fillId="5" borderId="63" xfId="0" applyFont="1" applyFill="1" applyBorder="1" applyAlignment="1">
      <alignment horizontal="center" vertical="center" wrapText="1"/>
    </xf>
    <xf numFmtId="1" fontId="12" fillId="0" borderId="37" xfId="5" applyNumberFormat="1" applyFont="1" applyFill="1" applyBorder="1" applyAlignment="1">
      <alignment horizontal="center" vertical="center"/>
    </xf>
    <xf numFmtId="1" fontId="12" fillId="0" borderId="37" xfId="5" applyNumberFormat="1" applyFont="1" applyFill="1" applyBorder="1" applyAlignment="1">
      <alignment horizontal="center" vertical="center" wrapText="1"/>
    </xf>
    <xf numFmtId="0" fontId="15" fillId="9" borderId="38" xfId="0" applyFont="1" applyFill="1" applyBorder="1" applyAlignment="1">
      <alignment horizontal="left" vertical="center"/>
    </xf>
    <xf numFmtId="1" fontId="12" fillId="0" borderId="34" xfId="5" applyNumberFormat="1" applyFont="1" applyFill="1" applyBorder="1" applyAlignment="1">
      <alignment horizontal="center" vertical="center"/>
    </xf>
    <xf numFmtId="0" fontId="15" fillId="0" borderId="38" xfId="0" applyFont="1" applyFill="1" applyBorder="1" applyAlignment="1">
      <alignment horizontal="left" vertical="center" wrapText="1"/>
    </xf>
    <xf numFmtId="0" fontId="15" fillId="0" borderId="38" xfId="0" applyFont="1" applyFill="1" applyBorder="1" applyAlignment="1">
      <alignment horizontal="left" vertical="center"/>
    </xf>
    <xf numFmtId="1" fontId="15" fillId="0" borderId="1" xfId="0" applyNumberFormat="1" applyFont="1" applyFill="1" applyBorder="1" applyAlignment="1">
      <alignment horizontal="center" vertical="center"/>
    </xf>
    <xf numFmtId="165" fontId="14" fillId="0" borderId="64" xfId="3" applyFont="1" applyBorder="1" applyAlignment="1">
      <alignment horizontal="center" vertical="center"/>
    </xf>
    <xf numFmtId="165" fontId="14" fillId="0" borderId="13" xfId="3" applyFont="1" applyBorder="1" applyAlignment="1">
      <alignment horizontal="center" vertical="center"/>
    </xf>
    <xf numFmtId="167" fontId="12" fillId="7" borderId="62" xfId="3" applyNumberFormat="1" applyFont="1" applyFill="1" applyBorder="1" applyAlignment="1">
      <alignment horizontal="right" vertical="center"/>
    </xf>
    <xf numFmtId="167" fontId="12" fillId="7" borderId="63" xfId="3" applyNumberFormat="1" applyFont="1" applyFill="1" applyBorder="1" applyAlignment="1">
      <alignment horizontal="right" vertical="center"/>
    </xf>
    <xf numFmtId="165" fontId="14" fillId="9" borderId="1" xfId="7" applyFont="1" applyFill="1" applyBorder="1" applyAlignment="1" applyProtection="1">
      <alignment horizontal="center" vertical="center"/>
    </xf>
    <xf numFmtId="0" fontId="13" fillId="7" borderId="9" xfId="0" applyFont="1" applyFill="1" applyBorder="1" applyAlignment="1">
      <alignment horizontal="center" vertical="center"/>
    </xf>
    <xf numFmtId="0" fontId="13" fillId="7" borderId="19" xfId="0" applyFont="1" applyFill="1" applyBorder="1" applyAlignment="1">
      <alignment horizontal="center" vertical="center"/>
    </xf>
    <xf numFmtId="49" fontId="12" fillId="0" borderId="9" xfId="0" applyNumberFormat="1" applyFont="1" applyBorder="1" applyAlignment="1">
      <alignment horizontal="center" vertical="center"/>
    </xf>
    <xf numFmtId="0" fontId="13" fillId="7" borderId="18" xfId="0" applyFont="1" applyFill="1" applyBorder="1" applyAlignment="1">
      <alignment horizontal="center" vertical="center"/>
    </xf>
    <xf numFmtId="0" fontId="13" fillId="7" borderId="53" xfId="0" applyFont="1" applyFill="1" applyBorder="1" applyAlignment="1">
      <alignment horizontal="center" vertical="center"/>
    </xf>
    <xf numFmtId="0" fontId="6" fillId="5" borderId="19" xfId="0" applyFont="1" applyFill="1" applyBorder="1" applyAlignment="1">
      <alignment horizontal="center" vertical="center"/>
    </xf>
    <xf numFmtId="0" fontId="6" fillId="5" borderId="22" xfId="0" applyFont="1" applyFill="1" applyBorder="1" applyAlignment="1">
      <alignment horizontal="center" vertical="center"/>
    </xf>
    <xf numFmtId="0" fontId="6" fillId="5" borderId="20" xfId="0" applyFont="1" applyFill="1" applyBorder="1" applyAlignment="1">
      <alignment horizontal="center" vertical="center"/>
    </xf>
    <xf numFmtId="0" fontId="8" fillId="0" borderId="2" xfId="0" applyFont="1" applyBorder="1" applyAlignment="1">
      <alignment horizontal="left" vertical="center" wrapText="1"/>
    </xf>
    <xf numFmtId="1" fontId="12" fillId="3" borderId="7" xfId="5" applyNumberFormat="1" applyFont="1" applyFill="1" applyBorder="1" applyAlignment="1">
      <alignment horizontal="center" vertical="center" wrapText="1"/>
    </xf>
    <xf numFmtId="1" fontId="12" fillId="3" borderId="44" xfId="5" applyNumberFormat="1" applyFont="1" applyFill="1" applyBorder="1" applyAlignment="1">
      <alignment horizontal="center" vertical="center" wrapText="1"/>
    </xf>
    <xf numFmtId="1" fontId="12" fillId="3" borderId="38" xfId="5" applyNumberFormat="1" applyFont="1" applyFill="1" applyBorder="1" applyAlignment="1">
      <alignment horizontal="center" vertical="center" wrapText="1"/>
    </xf>
    <xf numFmtId="1" fontId="12" fillId="0" borderId="7" xfId="5" applyNumberFormat="1" applyFont="1" applyFill="1" applyBorder="1" applyAlignment="1">
      <alignment horizontal="center" vertical="center" wrapText="1"/>
    </xf>
    <xf numFmtId="1" fontId="12" fillId="0" borderId="44" xfId="5" applyNumberFormat="1" applyFont="1" applyFill="1" applyBorder="1" applyAlignment="1">
      <alignment horizontal="center" vertical="center" wrapText="1"/>
    </xf>
    <xf numFmtId="1" fontId="12" fillId="0" borderId="38" xfId="5" applyNumberFormat="1" applyFont="1" applyFill="1" applyBorder="1" applyAlignment="1">
      <alignment horizontal="center" vertical="center" wrapText="1"/>
    </xf>
    <xf numFmtId="1" fontId="12" fillId="3" borderId="7" xfId="5" applyNumberFormat="1" applyFont="1" applyFill="1" applyBorder="1" applyAlignment="1">
      <alignment horizontal="center" vertical="center"/>
    </xf>
    <xf numFmtId="1" fontId="12" fillId="3" borderId="38" xfId="5" applyNumberFormat="1" applyFont="1" applyFill="1" applyBorder="1" applyAlignment="1">
      <alignment horizontal="center" vertical="center"/>
    </xf>
    <xf numFmtId="0" fontId="10" fillId="0" borderId="7" xfId="0" applyFont="1" applyBorder="1" applyAlignment="1">
      <alignment horizontal="center" vertical="center"/>
    </xf>
    <xf numFmtId="0" fontId="10" fillId="0" borderId="44" xfId="0" applyFont="1" applyBorder="1" applyAlignment="1">
      <alignment horizontal="center" vertical="center"/>
    </xf>
    <xf numFmtId="0" fontId="10" fillId="0" borderId="38" xfId="0" applyFont="1" applyBorder="1" applyAlignment="1">
      <alignment horizontal="center" vertical="center"/>
    </xf>
    <xf numFmtId="0" fontId="10" fillId="0" borderId="7" xfId="0" applyFont="1" applyBorder="1" applyAlignment="1">
      <alignment horizontal="center" vertical="center" wrapText="1"/>
    </xf>
    <xf numFmtId="0" fontId="10" fillId="0" borderId="44" xfId="0" applyFont="1" applyBorder="1" applyAlignment="1">
      <alignment horizontal="center" vertical="center" wrapText="1"/>
    </xf>
    <xf numFmtId="0" fontId="10" fillId="0" borderId="38" xfId="0" applyFont="1" applyBorder="1" applyAlignment="1">
      <alignment horizontal="center" vertical="center" wrapText="1"/>
    </xf>
    <xf numFmtId="1" fontId="12" fillId="3" borderId="44" xfId="5" applyNumberFormat="1" applyFont="1" applyFill="1" applyBorder="1" applyAlignment="1">
      <alignment horizontal="center" vertical="center"/>
    </xf>
    <xf numFmtId="0" fontId="13" fillId="6" borderId="40" xfId="0" applyFont="1" applyFill="1" applyBorder="1" applyAlignment="1">
      <alignment horizontal="center" vertical="center"/>
    </xf>
    <xf numFmtId="0" fontId="13" fillId="6" borderId="39" xfId="0" applyFont="1" applyFill="1" applyBorder="1" applyAlignment="1">
      <alignment horizontal="center" vertical="center"/>
    </xf>
    <xf numFmtId="0" fontId="23" fillId="0" borderId="40" xfId="0" applyFont="1" applyBorder="1" applyAlignment="1">
      <alignment horizontal="left" vertical="center" wrapText="1"/>
    </xf>
    <xf numFmtId="0" fontId="23" fillId="0" borderId="39" xfId="0" applyFont="1" applyBorder="1" applyAlignment="1">
      <alignment horizontal="left" vertical="center" wrapText="1"/>
    </xf>
    <xf numFmtId="0" fontId="23" fillId="0" borderId="34" xfId="0" applyFont="1" applyBorder="1" applyAlignment="1">
      <alignment horizontal="left" vertical="center" wrapText="1"/>
    </xf>
    <xf numFmtId="1" fontId="12" fillId="3" borderId="1" xfId="5" applyNumberFormat="1" applyFont="1" applyFill="1" applyBorder="1" applyAlignment="1">
      <alignment horizontal="center" vertical="center"/>
    </xf>
    <xf numFmtId="0" fontId="13" fillId="6" borderId="34" xfId="0" applyFont="1" applyFill="1" applyBorder="1" applyAlignment="1">
      <alignment horizontal="center" vertical="center"/>
    </xf>
    <xf numFmtId="0" fontId="15" fillId="0" borderId="7" xfId="0" applyFont="1" applyBorder="1" applyAlignment="1">
      <alignment horizontal="center" vertical="center"/>
    </xf>
    <xf numFmtId="0" fontId="15" fillId="0" borderId="44" xfId="0" applyFont="1" applyBorder="1" applyAlignment="1">
      <alignment horizontal="center" vertical="center"/>
    </xf>
    <xf numFmtId="0" fontId="15" fillId="0" borderId="38" xfId="0" applyFont="1" applyBorder="1" applyAlignment="1">
      <alignment horizontal="center" vertical="center"/>
    </xf>
    <xf numFmtId="0" fontId="15" fillId="0" borderId="7" xfId="0" applyFont="1" applyBorder="1" applyAlignment="1">
      <alignment horizontal="center" vertical="center" wrapText="1"/>
    </xf>
    <xf numFmtId="0" fontId="15" fillId="0" borderId="44" xfId="0" applyFont="1" applyBorder="1" applyAlignment="1">
      <alignment horizontal="center" vertical="center" wrapText="1"/>
    </xf>
    <xf numFmtId="0" fontId="15" fillId="0" borderId="38" xfId="0" applyFont="1" applyBorder="1" applyAlignment="1">
      <alignment horizontal="center" vertical="center" wrapText="1"/>
    </xf>
    <xf numFmtId="0" fontId="21" fillId="7" borderId="15" xfId="0" applyFont="1" applyFill="1" applyBorder="1" applyAlignment="1">
      <alignment horizontal="center" vertical="center"/>
    </xf>
    <xf numFmtId="0" fontId="21" fillId="7" borderId="16" xfId="0" applyFont="1" applyFill="1" applyBorder="1" applyAlignment="1">
      <alignment horizontal="center" vertical="center"/>
    </xf>
    <xf numFmtId="0" fontId="21" fillId="7" borderId="22" xfId="0" applyFont="1" applyFill="1" applyBorder="1" applyAlignment="1">
      <alignment horizontal="center" vertical="center"/>
    </xf>
    <xf numFmtId="0" fontId="21" fillId="7" borderId="60" xfId="0" applyFont="1" applyFill="1" applyBorder="1" applyAlignment="1">
      <alignment horizontal="center" vertical="center"/>
    </xf>
    <xf numFmtId="0" fontId="13" fillId="6" borderId="56" xfId="0" applyFont="1" applyFill="1" applyBorder="1" applyAlignment="1">
      <alignment horizontal="right" vertical="center"/>
    </xf>
    <xf numFmtId="0" fontId="13" fillId="6" borderId="57" xfId="0" applyFont="1" applyFill="1" applyBorder="1" applyAlignment="1">
      <alignment horizontal="right" vertical="center"/>
    </xf>
    <xf numFmtId="0" fontId="13" fillId="6" borderId="58" xfId="0" applyFont="1" applyFill="1" applyBorder="1" applyAlignment="1">
      <alignment horizontal="right" vertical="center"/>
    </xf>
    <xf numFmtId="1" fontId="12" fillId="0" borderId="7" xfId="5" applyNumberFormat="1" applyFont="1" applyFill="1" applyBorder="1" applyAlignment="1">
      <alignment horizontal="center" vertical="center"/>
    </xf>
    <xf numFmtId="1" fontId="12" fillId="0" borderId="44" xfId="5" applyNumberFormat="1" applyFont="1" applyFill="1" applyBorder="1" applyAlignment="1">
      <alignment horizontal="center" vertical="center"/>
    </xf>
    <xf numFmtId="1" fontId="12" fillId="0" borderId="38" xfId="5" applyNumberFormat="1" applyFont="1" applyFill="1" applyBorder="1" applyAlignment="1">
      <alignment horizontal="center" vertical="center"/>
    </xf>
    <xf numFmtId="1" fontId="14" fillId="3" borderId="7" xfId="5" applyNumberFormat="1" applyFont="1" applyFill="1" applyBorder="1" applyAlignment="1">
      <alignment horizontal="center" vertical="center"/>
    </xf>
    <xf numFmtId="1" fontId="14" fillId="3" borderId="44" xfId="5" applyNumberFormat="1" applyFont="1" applyFill="1" applyBorder="1" applyAlignment="1">
      <alignment horizontal="center" vertical="center"/>
    </xf>
    <xf numFmtId="1" fontId="14" fillId="3" borderId="38" xfId="5" applyNumberFormat="1" applyFont="1" applyFill="1" applyBorder="1" applyAlignment="1">
      <alignment horizontal="center" vertical="center"/>
    </xf>
    <xf numFmtId="1" fontId="14" fillId="3" borderId="7" xfId="5" applyNumberFormat="1" applyFont="1" applyFill="1" applyBorder="1" applyAlignment="1">
      <alignment horizontal="center" vertical="center" wrapText="1"/>
    </xf>
    <xf numFmtId="1" fontId="14" fillId="3" borderId="44" xfId="5" applyNumberFormat="1" applyFont="1" applyFill="1" applyBorder="1" applyAlignment="1">
      <alignment horizontal="center" vertical="center" wrapText="1"/>
    </xf>
    <xf numFmtId="1" fontId="14" fillId="3" borderId="38" xfId="5" applyNumberFormat="1" applyFont="1" applyFill="1" applyBorder="1" applyAlignment="1">
      <alignment horizontal="center" vertical="center" wrapText="1"/>
    </xf>
    <xf numFmtId="175" fontId="0" fillId="3" borderId="0" xfId="0" applyNumberFormat="1" applyFill="1" applyAlignment="1">
      <alignment vertical="center"/>
    </xf>
  </cellXfs>
  <cellStyles count="9">
    <cellStyle name="Currency" xfId="3" builtinId="4"/>
    <cellStyle name="Currency 2" xfId="2" xr:uid="{00000000-0005-0000-0000-000001000000}"/>
    <cellStyle name="Currency 3" xfId="7" xr:uid="{A3D0DE26-26CF-485F-BB72-CF57C9BAEF9A}"/>
    <cellStyle name="Normal" xfId="0" builtinId="0"/>
    <cellStyle name="Normal 2 3" xfId="4" xr:uid="{00000000-0005-0000-0000-000003000000}"/>
    <cellStyle name="Note" xfId="5" builtinId="10"/>
    <cellStyle name="Percent" xfId="8" builtinId="5"/>
    <cellStyle name="Percent 2" xfId="6" xr:uid="{894EF222-2471-43AC-9800-881BA9AA9091}"/>
    <cellStyle name="Style 1" xfId="1" xr:uid="{00000000-0005-0000-0000-000004000000}"/>
  </cellStyles>
  <dxfs count="0"/>
  <tableStyles count="0" defaultTableStyle="TableStyleMedium9" defaultPivotStyle="PivotStyleLight16"/>
  <colors>
    <mruColors>
      <color rgb="FF4A4C4C"/>
      <color rgb="FF013554"/>
      <color rgb="FF00496A"/>
      <color rgb="FF001521"/>
      <color rgb="FF00A6A5"/>
      <color rgb="FF00C8C3"/>
      <color rgb="FF00A8A4"/>
      <color rgb="FF00DED9"/>
      <color rgb="FF00BCB8"/>
      <color rgb="FF00DA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1" i="0" u="none" strike="noStrike" kern="1200" cap="none" baseline="0">
              <a:solidFill>
                <a:schemeClr val="lt1">
                  <a:lumMod val="85000"/>
                </a:schemeClr>
              </a:solidFill>
              <a:latin typeface="+mn-lt"/>
              <a:ea typeface="+mn-ea"/>
              <a:cs typeface="+mn-cs"/>
            </a:defRPr>
          </a:pPr>
          <a:endParaRPr lang="en-US"/>
        </a:p>
      </c:txPr>
    </c:title>
    <c:autoTitleDeleted val="0"/>
    <c:plotArea>
      <c:layout/>
      <c:barChart>
        <c:barDir val="col"/>
        <c:grouping val="clustered"/>
        <c:varyColors val="0"/>
        <c:ser>
          <c:idx val="0"/>
          <c:order val="0"/>
          <c:tx>
            <c:v>DIVISION COST COMPARISON</c:v>
          </c:tx>
          <c:spPr>
            <a:noFill/>
            <a:ln w="9525" cap="flat" cmpd="sng" algn="ctr">
              <a:solidFill>
                <a:schemeClr val="accent1"/>
              </a:solidFill>
              <a:miter lim="800000"/>
            </a:ln>
            <a:effectLst>
              <a:glow rad="63500">
                <a:schemeClr val="accent1">
                  <a:satMod val="175000"/>
                  <a:alpha val="25000"/>
                </a:schemeClr>
              </a:glow>
            </a:effectLst>
          </c:spPr>
          <c:invertIfNegative val="0"/>
          <c:cat>
            <c:strRef>
              <c:f>'General Summary'!$B$10:$B$26</c:f>
              <c:strCache>
                <c:ptCount val="17"/>
                <c:pt idx="0">
                  <c:v>General Requirements</c:v>
                </c:pt>
                <c:pt idx="1">
                  <c:v>Existing Condition</c:v>
                </c:pt>
                <c:pt idx="2">
                  <c:v>Concrete</c:v>
                </c:pt>
                <c:pt idx="3">
                  <c:v>Masonry</c:v>
                </c:pt>
                <c:pt idx="4">
                  <c:v>Metals</c:v>
                </c:pt>
                <c:pt idx="5">
                  <c:v>Wood, Plastics &amp; Composites</c:v>
                </c:pt>
                <c:pt idx="6">
                  <c:v>Thermal &amp; Moisture Protection</c:v>
                </c:pt>
                <c:pt idx="7">
                  <c:v>Opening  </c:v>
                </c:pt>
                <c:pt idx="8">
                  <c:v>Finishes</c:v>
                </c:pt>
                <c:pt idx="9">
                  <c:v>Specialties</c:v>
                </c:pt>
                <c:pt idx="10">
                  <c:v>Furnishing</c:v>
                </c:pt>
                <c:pt idx="11">
                  <c:v>Plumbing </c:v>
                </c:pt>
                <c:pt idx="12">
                  <c:v>Hvac</c:v>
                </c:pt>
                <c:pt idx="13">
                  <c:v>Electrical</c:v>
                </c:pt>
                <c:pt idx="14">
                  <c:v>Electronic Safety And Security Manufacturer</c:v>
                </c:pt>
                <c:pt idx="15">
                  <c:v>Earthwork</c:v>
                </c:pt>
                <c:pt idx="16">
                  <c:v>Site Improvements</c:v>
                </c:pt>
              </c:strCache>
            </c:strRef>
          </c:cat>
          <c:val>
            <c:numRef>
              <c:f>'General Summary'!$C$10:$C$26</c:f>
              <c:numCache>
                <c:formatCode>_("$"* #,##0_);_("$"* \(#,##0\);_("$"* "-"??_);_(@_)</c:formatCode>
                <c:ptCount val="17"/>
                <c:pt idx="0">
                  <c:v>85500</c:v>
                </c:pt>
                <c:pt idx="1">
                  <c:v>13824.627359999999</c:v>
                </c:pt>
                <c:pt idx="2">
                  <c:v>20502.554004543334</c:v>
                </c:pt>
                <c:pt idx="3">
                  <c:v>1468.1672176499997</c:v>
                </c:pt>
                <c:pt idx="4">
                  <c:v>6390.4590000000007</c:v>
                </c:pt>
                <c:pt idx="5">
                  <c:v>10548.472999999998</c:v>
                </c:pt>
                <c:pt idx="6">
                  <c:v>153973.81973715959</c:v>
                </c:pt>
                <c:pt idx="7">
                  <c:v>97992.218795000023</c:v>
                </c:pt>
                <c:pt idx="8">
                  <c:v>116605.87161885443</c:v>
                </c:pt>
                <c:pt idx="9">
                  <c:v>1220.3499999999999</c:v>
                </c:pt>
                <c:pt idx="10">
                  <c:v>6752.0828760000004</c:v>
                </c:pt>
                <c:pt idx="11">
                  <c:v>24864.077611249999</c:v>
                </c:pt>
                <c:pt idx="12">
                  <c:v>217957.62591999993</c:v>
                </c:pt>
                <c:pt idx="13">
                  <c:v>111720.804</c:v>
                </c:pt>
                <c:pt idx="14">
                  <c:v>5403.6299999999992</c:v>
                </c:pt>
                <c:pt idx="15">
                  <c:v>8116.8465490000008</c:v>
                </c:pt>
                <c:pt idx="16">
                  <c:v>39204.90112576024</c:v>
                </c:pt>
              </c:numCache>
            </c:numRef>
          </c:val>
          <c:extLst>
            <c:ext xmlns:c16="http://schemas.microsoft.com/office/drawing/2014/chart" uri="{C3380CC4-5D6E-409C-BE32-E72D297353CC}">
              <c16:uniqueId val="{00000004-A88A-43C0-9BDF-5ADCB332C7DA}"/>
            </c:ext>
          </c:extLst>
        </c:ser>
        <c:dLbls>
          <c:showLegendKey val="0"/>
          <c:showVal val="0"/>
          <c:showCatName val="0"/>
          <c:showSerName val="0"/>
          <c:showPercent val="0"/>
          <c:showBubbleSize val="0"/>
        </c:dLbls>
        <c:gapWidth val="315"/>
        <c:overlap val="-40"/>
        <c:axId val="525215184"/>
        <c:axId val="525188976"/>
      </c:barChart>
      <c:catAx>
        <c:axId val="525215184"/>
        <c:scaling>
          <c:orientation val="minMax"/>
        </c:scaling>
        <c:delete val="0"/>
        <c:axPos val="b"/>
        <c:majorGridlines>
          <c:spPr>
            <a:ln w="9525" cap="flat" cmpd="sng" algn="ctr">
              <a:gradFill>
                <a:gsLst>
                  <a:gs pos="100000">
                    <a:schemeClr val="dk1">
                      <a:lumMod val="75000"/>
                      <a:lumOff val="25000"/>
                    </a:schemeClr>
                  </a:gs>
                  <a:gs pos="0">
                    <a:schemeClr val="dk1">
                      <a:lumMod val="65000"/>
                      <a:lumOff val="35000"/>
                    </a:schemeClr>
                  </a:gs>
                </a:gsLst>
                <a:lin ang="5400000" scaled="0"/>
              </a:gra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n-US"/>
          </a:p>
        </c:txPr>
        <c:crossAx val="525188976"/>
        <c:crosses val="autoZero"/>
        <c:auto val="1"/>
        <c:lblAlgn val="ctr"/>
        <c:lblOffset val="100"/>
        <c:noMultiLvlLbl val="0"/>
      </c:catAx>
      <c:valAx>
        <c:axId val="525188976"/>
        <c:scaling>
          <c:orientation val="minMax"/>
        </c:scaling>
        <c:delete val="0"/>
        <c:axPos val="l"/>
        <c:majorGridlines>
          <c:spPr>
            <a:ln w="9525" cap="flat" cmpd="sng" algn="ctr">
              <a:gradFill>
                <a:gsLst>
                  <a:gs pos="100000">
                    <a:schemeClr val="dk1">
                      <a:lumMod val="75000"/>
                      <a:lumOff val="25000"/>
                    </a:schemeClr>
                  </a:gs>
                  <a:gs pos="0">
                    <a:schemeClr val="dk1">
                      <a:lumMod val="65000"/>
                      <a:lumOff val="35000"/>
                    </a:schemeClr>
                  </a:gs>
                </a:gsLst>
                <a:lin ang="5400000" scaled="0"/>
              </a:gradFill>
              <a:round/>
            </a:ln>
            <a:effectLst/>
          </c:spPr>
        </c:majorGridlines>
        <c:numFmt formatCode="_(&quot;$&quot;* #,##0_);_(&quot;$&quot;* \(#,##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n-US"/>
          </a:p>
        </c:txPr>
        <c:crossAx val="525215184"/>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dk1">
        <a:lumMod val="75000"/>
        <a:lumOff val="25000"/>
      </a:schemeClr>
    </a:soli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3">
  <cs:axisTitle>
    <cs:lnRef idx="0"/>
    <cs:fillRef idx="0"/>
    <cs:effectRef idx="0"/>
    <cs:fontRef idx="minor">
      <a:schemeClr val="lt1">
        <a:lumMod val="75000"/>
      </a:schemeClr>
    </cs:fontRef>
    <cs:defRPr sz="900" b="1" kern="1200"/>
  </cs:axisTitle>
  <cs:categoryAxis>
    <cs:lnRef idx="0"/>
    <cs:fillRef idx="0"/>
    <cs:effectRef idx="0"/>
    <cs:fontRef idx="minor">
      <a:schemeClr val="lt1">
        <a:lumMod val="75000"/>
      </a:schemeClr>
    </cs:fontRef>
    <cs:defRPr sz="900" kern="1200"/>
  </cs:categoryAxis>
  <cs:chartArea>
    <cs:lnRef idx="0"/>
    <cs:fillRef idx="0"/>
    <cs:effectRef idx="0"/>
    <cs:fontRef idx="minor">
      <a:schemeClr val="dk1"/>
    </cs:fontRef>
    <cs:spPr>
      <a:solidFill>
        <a:schemeClr val="dk1">
          <a:lumMod val="75000"/>
          <a:lumOff val="25000"/>
        </a:schemeClr>
      </a:solidFill>
      <a:ln w="9525" cap="flat" cmpd="sng" algn="ctr">
        <a:solidFill>
          <a:schemeClr val="dk1">
            <a:lumMod val="15000"/>
            <a:lumOff val="85000"/>
          </a:schemeClr>
        </a:solidFill>
        <a:round/>
      </a:ln>
    </cs:spPr>
    <cs:defRPr sz="900" kern="1200"/>
  </cs:chartArea>
  <cs:dataLabel>
    <cs:lnRef idx="0"/>
    <cs:fillRef idx="0"/>
    <cs:effectRef idx="0"/>
    <cs:fontRef idx="minor">
      <a:schemeClr val="lt1">
        <a:lumMod val="75000"/>
      </a:schemeClr>
    </cs:fontRef>
    <cs:defRPr sz="900" kern="1200"/>
  </cs:dataLabel>
  <cs:dataLabelCallout>
    <cs:lnRef idx="0"/>
    <cs:fillRef idx="0"/>
    <cs:effectRef idx="0"/>
    <cs:fontRef idx="minor">
      <a:schemeClr val="lt1">
        <a:lumMod val="15000"/>
        <a:lumOff val="85000"/>
      </a:schemeClr>
    </cs:fontRef>
    <cs:spPr>
      <a:solidFill>
        <a:schemeClr val="dk1">
          <a:lumMod val="65000"/>
          <a:lumOff val="35000"/>
        </a:schemeClr>
      </a:solidFill>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0"/>
    <cs:effectRef idx="0">
      <cs:styleClr val="auto"/>
    </cs:effectRef>
    <cs:fontRef idx="minor">
      <a:schemeClr val="dk1"/>
    </cs:fontRef>
    <cs:spPr>
      <a:ln w="9525" cap="flat" cmpd="sng" algn="ctr">
        <a:solidFill>
          <a:schemeClr val="phClr"/>
        </a:solidFill>
        <a:miter lim="800000"/>
      </a:ln>
      <a:effectLst>
        <a:glow rad="63500">
          <a:schemeClr val="phClr">
            <a:satMod val="175000"/>
            <a:alpha val="25000"/>
          </a:schemeClr>
        </a:glow>
      </a:effectLst>
    </cs:spPr>
  </cs:dataPoint>
  <cs:dataPoint3D>
    <cs:lnRef idx="0">
      <cs:styleClr val="auto"/>
    </cs:lnRef>
    <cs:fillRef idx="0">
      <cs:styleClr val="auto"/>
    </cs:fillRef>
    <cs:effectRef idx="0">
      <cs:styleClr val="auto"/>
    </cs:effectRef>
    <cs:fontRef idx="minor">
      <a:schemeClr val="dk1"/>
    </cs:fontRef>
    <cs:spPr>
      <a:ln w="9525" cap="flat" cmpd="sng" algn="ctr">
        <a:solidFill>
          <a:schemeClr val="phClr"/>
        </a:solidFill>
        <a:miter lim="800000"/>
      </a:ln>
      <a:effectLst>
        <a:glow rad="63500">
          <a:schemeClr val="phClr">
            <a:satMod val="175000"/>
            <a:alpha val="25000"/>
          </a:schemeClr>
        </a:glow>
      </a:effectLst>
    </cs:spPr>
  </cs:dataPoint3D>
  <cs:dataPointLine>
    <cs:lnRef idx="0">
      <cs:styleClr val="auto"/>
    </cs:lnRef>
    <cs:fillRef idx="0">
      <cs:styleClr val="auto"/>
    </cs:fillRef>
    <cs:effectRef idx="0">
      <cs:styleClr val="auto"/>
    </cs:effectRef>
    <cs:fontRef idx="minor">
      <a:schemeClr val="dk1"/>
    </cs:fontRef>
    <cs:spPr>
      <a:ln w="22225" cap="rnd">
        <a:solidFill>
          <a:schemeClr val="phClr"/>
        </a:solidFill>
      </a:ln>
      <a:effectLst>
        <a:glow rad="139700">
          <a:schemeClr val="phClr">
            <a:satMod val="175000"/>
            <a:alpha val="14000"/>
          </a:schemeClr>
        </a:glow>
      </a:effectLst>
    </cs:spPr>
  </cs:dataPointLine>
  <cs:dataPointMarker>
    <cs:lnRef idx="0">
      <cs:styleClr val="auto"/>
    </cs:lnRef>
    <cs:fillRef idx="0">
      <cs:styleClr val="auto"/>
    </cs:fillRef>
    <cs:effectRef idx="0">
      <cs:styleClr val="auto"/>
    </cs:effectRef>
    <cs:fontRef idx="minor">
      <a:schemeClr val="dk1"/>
    </cs:fontRef>
    <cs:spPr>
      <a:solidFill>
        <a:schemeClr val="phClr">
          <a:lumMod val="60000"/>
          <a:lumOff val="40000"/>
        </a:schemeClr>
      </a:solidFill>
      <a:effectLst>
        <a:glow rad="63500">
          <a:schemeClr val="phClr">
            <a:satMod val="175000"/>
            <a:alpha val="25000"/>
          </a:schemeClr>
        </a:glow>
      </a:effectLst>
    </cs:spPr>
  </cs:dataPointMarker>
  <cs:dataPointMarkerLayout symbol="circle" size="4"/>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lt1">
        <a:lumMod val="75000"/>
      </a:schemeClr>
    </cs:fontRef>
    <cs:spPr>
      <a:ln w="9525">
        <a:solidFill>
          <a:schemeClr val="dk1">
            <a:lumMod val="50000"/>
            <a:lumOff val="50000"/>
          </a:schemeClr>
        </a:solidFill>
      </a:ln>
    </cs:spPr>
    <cs:defRPr sz="900" kern="1200"/>
  </cs:dataTable>
  <cs:downBar>
    <cs:lnRef idx="0"/>
    <cs:fillRef idx="0"/>
    <cs:effectRef idx="0"/>
    <cs:fontRef idx="minor">
      <a:schemeClr val="lt1"/>
    </cs:fontRef>
    <cs:spPr>
      <a:solidFill>
        <a:schemeClr val="dk1">
          <a:lumMod val="50000"/>
          <a:lumOff val="50000"/>
        </a:schemeClr>
      </a:solidFill>
      <a:ln w="9525">
        <a:solidFill>
          <a:schemeClr val="dk1">
            <a:lumMod val="75000"/>
          </a:schemeClr>
        </a:solidFill>
        <a:round/>
      </a:ln>
    </cs:spPr>
  </cs:downBar>
  <cs:dropLine>
    <cs:lnRef idx="0"/>
    <cs:fillRef idx="0"/>
    <cs:effectRef idx="0"/>
    <cs:fontRef idx="minor">
      <a:schemeClr val="dk1"/>
    </cs:fontRef>
    <cs:spPr>
      <a:ln w="9525">
        <a:solidFill>
          <a:schemeClr val="lt1">
            <a:lumMod val="50000"/>
          </a:schemeClr>
        </a:solidFill>
        <a:round/>
      </a:ln>
    </cs:spPr>
  </cs:dropLine>
  <cs:errorBar>
    <cs:lnRef idx="0"/>
    <cs:fillRef idx="0"/>
    <cs:effectRef idx="0"/>
    <cs:fontRef idx="minor">
      <a:schemeClr val="dk1"/>
    </cs:fontRef>
    <cs:spPr>
      <a:ln w="9525">
        <a:solidFill>
          <a:schemeClr val="lt1">
            <a:lumMod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75000"/>
                <a:lumOff val="25000"/>
              </a:schemeClr>
            </a:gs>
            <a:gs pos="0">
              <a:schemeClr val="dk1">
                <a:lumMod val="65000"/>
                <a:lumOff val="35000"/>
              </a:schemeClr>
            </a:gs>
          </a:gsLst>
          <a:lin ang="5400000" scaled="0"/>
        </a:gradFill>
        <a:round/>
      </a:ln>
    </cs:spPr>
  </cs:gridlineMajor>
  <cs:gridlineMinor>
    <cs:lnRef idx="0"/>
    <cs:fillRef idx="0"/>
    <cs:effectRef idx="0"/>
    <cs:fontRef idx="minor">
      <a:schemeClr val="dk1"/>
    </cs:fontRef>
    <cs:spPr>
      <a:ln w="9525" cap="flat" cmpd="sng" algn="ctr">
        <a:gradFill>
          <a:gsLst>
            <a:gs pos="100000">
              <a:schemeClr val="dk1">
                <a:lumMod val="75000"/>
                <a:lumOff val="25000"/>
                <a:alpha val="25000"/>
              </a:schemeClr>
            </a:gs>
            <a:gs pos="0">
              <a:schemeClr val="dk1">
                <a:lumMod val="65000"/>
                <a:lumOff val="35000"/>
                <a:alpha val="25000"/>
              </a:schemeClr>
            </a:gs>
          </a:gsLst>
          <a:lin ang="5400000" scaled="0"/>
        </a:gradFill>
        <a:round/>
      </a:ln>
    </cs:spPr>
  </cs:gridlineMinor>
  <cs:hiLoLine>
    <cs:lnRef idx="0"/>
    <cs:fillRef idx="0"/>
    <cs:effectRef idx="0"/>
    <cs:fontRef idx="minor">
      <a:schemeClr val="dk1"/>
    </cs:fontRef>
    <cs:spPr>
      <a:ln w="9525">
        <a:solidFill>
          <a:schemeClr val="lt1">
            <a:lumMod val="50000"/>
          </a:schemeClr>
        </a:solidFill>
        <a:round/>
      </a:ln>
    </cs:spPr>
  </cs:hiLoLine>
  <cs:leaderLine>
    <cs:lnRef idx="0"/>
    <cs:fillRef idx="0"/>
    <cs:effectRef idx="0"/>
    <cs:fontRef idx="minor">
      <a:schemeClr val="dk1"/>
    </cs:fontRef>
    <cs:spPr>
      <a:ln w="9525">
        <a:solidFill>
          <a:schemeClr val="lt1">
            <a:lumMod val="50000"/>
          </a:schemeClr>
        </a:solidFill>
        <a:round/>
      </a:ln>
    </cs:spPr>
  </cs:leaderLine>
  <cs:legend>
    <cs:lnRef idx="0"/>
    <cs:fillRef idx="0"/>
    <cs:effectRef idx="0"/>
    <cs:fontRef idx="minor">
      <a:schemeClr val="lt1">
        <a:lumMod val="7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lt1">
        <a:lumMod val="75000"/>
      </a:schemeClr>
    </cs:fontRef>
    <cs:defRPr sz="900" kern="1200"/>
  </cs:seriesAxis>
  <cs:seriesLine>
    <cs:lnRef idx="0"/>
    <cs:fillRef idx="0"/>
    <cs:effectRef idx="0"/>
    <cs:fontRef idx="minor">
      <a:schemeClr val="dk1"/>
    </cs:fontRef>
    <cs:spPr>
      <a:ln w="9525">
        <a:solidFill>
          <a:schemeClr val="lt1">
            <a:lumMod val="50000"/>
          </a:schemeClr>
        </a:solidFill>
        <a:round/>
      </a:ln>
    </cs:spPr>
  </cs:seriesLine>
  <cs:title>
    <cs:lnRef idx="0"/>
    <cs:fillRef idx="0"/>
    <cs:effectRef idx="0"/>
    <cs:fontRef idx="minor">
      <a:schemeClr val="lt1">
        <a:lumMod val="85000"/>
      </a:schemeClr>
    </cs:fontRef>
    <cs:defRPr sz="1400" b="1" kern="1200" cap="none" baseline="0"/>
  </cs:title>
  <cs:trendline>
    <cs:lnRef idx="0">
      <cs:styleClr val="auto"/>
    </cs:lnRef>
    <cs:fillRef idx="0"/>
    <cs:effectRef idx="0"/>
    <cs:fontRef idx="minor">
      <a:schemeClr val="lt1"/>
    </cs:fontRef>
    <cs:spPr>
      <a:ln w="25400" cap="rnd">
        <a:solidFill>
          <a:schemeClr val="phClr">
            <a:alpha val="50000"/>
          </a:schemeClr>
        </a:solidFill>
      </a:ln>
    </cs:spPr>
  </cs:trendline>
  <cs:trendlineLabel>
    <cs:lnRef idx="0"/>
    <cs:fillRef idx="0"/>
    <cs:effectRef idx="0"/>
    <cs:fontRef idx="minor">
      <a:schemeClr val="lt1">
        <a:lumMod val="75000"/>
      </a:schemeClr>
    </cs:fontRef>
    <cs:defRPr sz="900" kern="1200"/>
  </cs:trendlineLabel>
  <cs:upBar>
    <cs:lnRef idx="0"/>
    <cs:fillRef idx="0"/>
    <cs:effectRef idx="0"/>
    <cs:fontRef idx="minor">
      <a:schemeClr val="dk1"/>
    </cs:fontRef>
    <cs:spPr>
      <a:solidFill>
        <a:schemeClr val="lt1">
          <a:lumMod val="85000"/>
        </a:schemeClr>
      </a:solidFill>
      <a:ln w="9525">
        <a:solidFill>
          <a:schemeClr val="dk1">
            <a:lumMod val="50000"/>
          </a:schemeClr>
        </a:solidFill>
        <a:round/>
      </a:ln>
    </cs:spPr>
  </cs:upBar>
  <cs:valueAxis>
    <cs:lnRef idx="0"/>
    <cs:fillRef idx="0"/>
    <cs:effectRef idx="0"/>
    <cs:fontRef idx="minor">
      <a:schemeClr val="lt1">
        <a:lumMod val="7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9</xdr:col>
      <xdr:colOff>0</xdr:colOff>
      <xdr:row>1</xdr:row>
      <xdr:rowOff>32385</xdr:rowOff>
    </xdr:from>
    <xdr:to>
      <xdr:col>11</xdr:col>
      <xdr:colOff>658533</xdr:colOff>
      <xdr:row>4</xdr:row>
      <xdr:rowOff>93893</xdr:rowOff>
    </xdr:to>
    <xdr:pic>
      <xdr:nvPicPr>
        <xdr:cNvPr id="8" name="Picture 7">
          <a:extLst>
            <a:ext uri="{FF2B5EF4-FFF2-40B4-BE49-F238E27FC236}">
              <a16:creationId xmlns:a16="http://schemas.microsoft.com/office/drawing/2014/main" id="{3A38B9B0-8722-44AC-8EC7-6AAF6A119A7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340353" y="301326"/>
          <a:ext cx="2025651" cy="767479"/>
        </a:xfrm>
        <a:prstGeom prst="rect">
          <a:avLst/>
        </a:prstGeom>
      </xdr:spPr>
    </xdr:pic>
    <xdr:clientData/>
  </xdr:twoCellAnchor>
  <xdr:twoCellAnchor>
    <xdr:from>
      <xdr:col>4</xdr:col>
      <xdr:colOff>6724</xdr:colOff>
      <xdr:row>6</xdr:row>
      <xdr:rowOff>201704</xdr:rowOff>
    </xdr:from>
    <xdr:to>
      <xdr:col>11</xdr:col>
      <xdr:colOff>672354</xdr:colOff>
      <xdr:row>32</xdr:row>
      <xdr:rowOff>190499</xdr:rowOff>
    </xdr:to>
    <xdr:graphicFrame macro="">
      <xdr:nvGraphicFramePr>
        <xdr:cNvPr id="2" name="Chart 1">
          <a:extLst>
            <a:ext uri="{FF2B5EF4-FFF2-40B4-BE49-F238E27FC236}">
              <a16:creationId xmlns:a16="http://schemas.microsoft.com/office/drawing/2014/main" id="{B47D37AD-DFDF-5416-2814-CD180CDD601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oneCellAnchor>
    <xdr:from>
      <xdr:col>0</xdr:col>
      <xdr:colOff>457200</xdr:colOff>
      <xdr:row>1</xdr:row>
      <xdr:rowOff>0</xdr:rowOff>
    </xdr:from>
    <xdr:ext cx="184731" cy="264560"/>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457200" y="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457200</xdr:colOff>
      <xdr:row>1</xdr:row>
      <xdr:rowOff>0</xdr:rowOff>
    </xdr:from>
    <xdr:ext cx="184731" cy="264560"/>
    <xdr:sp macro="" textlink="">
      <xdr:nvSpPr>
        <xdr:cNvPr id="3" name="TextBox 2">
          <a:extLst>
            <a:ext uri="{FF2B5EF4-FFF2-40B4-BE49-F238E27FC236}">
              <a16:creationId xmlns:a16="http://schemas.microsoft.com/office/drawing/2014/main" id="{00000000-0008-0000-0100-000003000000}"/>
            </a:ext>
          </a:extLst>
        </xdr:cNvPr>
        <xdr:cNvSpPr txBox="1"/>
      </xdr:nvSpPr>
      <xdr:spPr>
        <a:xfrm>
          <a:off x="457200" y="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1</xdr:row>
      <xdr:rowOff>0</xdr:rowOff>
    </xdr:from>
    <xdr:ext cx="184731" cy="264560"/>
    <xdr:sp macro="" textlink="">
      <xdr:nvSpPr>
        <xdr:cNvPr id="5" name="TextBox 4">
          <a:extLst>
            <a:ext uri="{FF2B5EF4-FFF2-40B4-BE49-F238E27FC236}">
              <a16:creationId xmlns:a16="http://schemas.microsoft.com/office/drawing/2014/main" id="{77412386-664B-4E9A-89CC-75563F337391}"/>
            </a:ext>
          </a:extLst>
        </xdr:cNvPr>
        <xdr:cNvSpPr txBox="1"/>
      </xdr:nvSpPr>
      <xdr:spPr>
        <a:xfrm>
          <a:off x="1466850" y="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twoCellAnchor editAs="oneCell">
    <xdr:from>
      <xdr:col>11</xdr:col>
      <xdr:colOff>598370</xdr:colOff>
      <xdr:row>2</xdr:row>
      <xdr:rowOff>8227</xdr:rowOff>
    </xdr:from>
    <xdr:to>
      <xdr:col>13</xdr:col>
      <xdr:colOff>860326</xdr:colOff>
      <xdr:row>5</xdr:row>
      <xdr:rowOff>60286</xdr:rowOff>
    </xdr:to>
    <xdr:pic>
      <xdr:nvPicPr>
        <xdr:cNvPr id="7" name="Picture 6">
          <a:extLst>
            <a:ext uri="{FF2B5EF4-FFF2-40B4-BE49-F238E27FC236}">
              <a16:creationId xmlns:a16="http://schemas.microsoft.com/office/drawing/2014/main" id="{9601B92A-2E1D-489A-A33E-6A0D41DE345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642319" y="278303"/>
          <a:ext cx="2064786" cy="746540"/>
        </a:xfrm>
        <a:prstGeom prst="rect">
          <a:avLst/>
        </a:prstGeom>
      </xdr:spPr>
    </xdr:pic>
    <xdr:clientData/>
  </xdr:twoCellAnchor>
</xdr:wsDr>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Integral">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Integral">
      <a:majorFont>
        <a:latin typeface="Tw Cen MT Condensed" panose="020B0606020104020203"/>
        <a:ea typeface=""/>
        <a:cs typeface=""/>
        <a:font script="Grek" typeface="Calibri"/>
        <a:font script="Cyrl" typeface="Calibri"/>
        <a:font script="Jpan" typeface="メイリオ"/>
        <a:font script="Hang" typeface="HY얕은샘물M"/>
        <a:font script="Hans" typeface="华文仿宋"/>
        <a:font script="Hant" typeface="微軟正黑體"/>
        <a:font script="Arab" typeface="Arial"/>
        <a:font script="Hebr" typeface="Levenim MT"/>
        <a:font script="Thai" typeface="Frees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Tw Cen MT" panose="020B0602020104020603"/>
        <a:ea typeface=""/>
        <a:cs typeface=""/>
        <a:font script="Grek" typeface="Calibri"/>
        <a:font script="Cyrl" typeface="Calibri"/>
        <a:font script="Jpan" typeface="メイリオ"/>
        <a:font script="Hang" typeface="HY얕은샘물M"/>
        <a:font script="Hans" typeface="华文仿宋"/>
        <a:font script="Hant" typeface="微軟正黑體"/>
        <a:font script="Arab" typeface="Arial"/>
        <a:font script="Hebr" typeface="Levenim MT"/>
        <a:font script="Thai" typeface="Frees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Integral">
      <a:fillStyleLst>
        <a:solidFill>
          <a:schemeClr val="phClr"/>
        </a:solidFill>
        <a:gradFill rotWithShape="1">
          <a:gsLst>
            <a:gs pos="0">
              <a:schemeClr val="phClr">
                <a:tint val="83000"/>
                <a:satMod val="100000"/>
                <a:lumMod val="100000"/>
              </a:schemeClr>
            </a:gs>
            <a:gs pos="100000">
              <a:schemeClr val="phClr">
                <a:tint val="61000"/>
                <a:satMod val="150000"/>
                <a:lumMod val="100000"/>
              </a:schemeClr>
            </a:gs>
          </a:gsLst>
          <a:path path="circle">
            <a:fillToRect l="100000" t="100000" r="100000" b="100000"/>
          </a:path>
        </a:gradFill>
        <a:gradFill rotWithShape="1">
          <a:gsLst>
            <a:gs pos="0">
              <a:schemeClr val="phClr">
                <a:tint val="100000"/>
                <a:shade val="85000"/>
                <a:satMod val="100000"/>
                <a:lumMod val="100000"/>
              </a:schemeClr>
            </a:gs>
            <a:gs pos="100000">
              <a:schemeClr val="phClr">
                <a:tint val="90000"/>
                <a:shade val="100000"/>
                <a:satMod val="150000"/>
                <a:lumMod val="100000"/>
              </a:schemeClr>
            </a:gs>
          </a:gsLst>
          <a:path path="circle">
            <a:fillToRect l="100000" t="100000" r="100000" b="100000"/>
          </a:path>
        </a:gradFill>
      </a:fillStyleLst>
      <a:lnStyleLst>
        <a:ln w="9525" cap="flat" cmpd="sng" algn="ctr">
          <a:solidFill>
            <a:schemeClr val="phClr"/>
          </a:solidFill>
          <a:prstDash val="solid"/>
        </a:ln>
        <a:ln w="15875"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outerShdw blurRad="50800" dist="12700" dir="5400000" algn="ctr" rotWithShape="0">
              <a:srgbClr val="000000">
                <a:alpha val="50000"/>
              </a:srgbClr>
            </a:outerShdw>
          </a:effectLst>
        </a:effectStyle>
        <a:effectStyle>
          <a:effectLst>
            <a:outerShdw blurRad="76200" dist="25400" dir="5400000" algn="ctr" rotWithShape="0">
              <a:srgbClr val="000000">
                <a:alpha val="60000"/>
              </a:srgbClr>
            </a:outerShdw>
          </a:effectLst>
          <a:scene3d>
            <a:camera prst="orthographicFront">
              <a:rot lat="0" lon="0" rev="0"/>
            </a:camera>
            <a:lightRig rig="flat" dir="t">
              <a:rot lat="0" lon="0" rev="3600000"/>
            </a:lightRig>
          </a:scene3d>
          <a:sp3d contourW="12700" prstMaterial="flat">
            <a:bevelT w="38100" h="44450" prst="angle"/>
            <a:contourClr>
              <a:schemeClr val="phClr">
                <a:shade val="35000"/>
                <a:satMod val="160000"/>
              </a:schemeClr>
            </a:contourClr>
          </a:sp3d>
        </a:effectStyle>
      </a:effectStyleLst>
      <a:bgFillStyleLst>
        <a:solidFill>
          <a:schemeClr val="phClr"/>
        </a:solidFill>
        <a:solidFill>
          <a:schemeClr val="phClr">
            <a:tint val="95000"/>
            <a:shade val="85000"/>
            <a:satMod val="125000"/>
          </a:schemeClr>
        </a:solidFill>
        <a:blipFill rotWithShape="1">
          <a:blip xmlns:r="http://schemas.openxmlformats.org/officeDocument/2006/relationships" r:embed="rId1">
            <a:duotone>
              <a:schemeClr val="phClr">
                <a:tint val="95000"/>
                <a:shade val="74000"/>
                <a:satMod val="230000"/>
              </a:schemeClr>
              <a:schemeClr val="phClr">
                <a:tint val="92000"/>
                <a:shade val="69000"/>
                <a:satMod val="250000"/>
              </a:schemeClr>
            </a:duotone>
          </a:blip>
          <a:tile tx="0" ty="0" sx="40000" sy="40000" flip="none" algn="tl"/>
        </a:blipFill>
      </a:bgFillStyleLst>
    </a:fmtScheme>
  </a:themeElements>
  <a:objectDefaults/>
  <a:extraClrSchemeLst/>
  <a:extLst>
    <a:ext uri="{05A4C25C-085E-4340-85A3-A5531E510DB2}">
      <thm15:themeFamily xmlns:thm15="http://schemas.microsoft.com/office/thememl/2012/main" name="Integral" id="{3577F8C9-A904-41D8-97D2-FD898F53F20E}" vid="{682D6EBE-8D36-4FF2-9DB3-F3D8D7B6715D}"/>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pageSetUpPr fitToPage="1"/>
  </sheetPr>
  <dimension ref="A1:L48"/>
  <sheetViews>
    <sheetView view="pageBreakPreview" topLeftCell="A10" zoomScale="85" zoomScaleNormal="100" zoomScaleSheetLayoutView="85" workbookViewId="0">
      <selection activeCell="C32" sqref="C32"/>
    </sheetView>
  </sheetViews>
  <sheetFormatPr defaultColWidth="9" defaultRowHeight="14.25" x14ac:dyDescent="0.2"/>
  <cols>
    <col min="1" max="1" width="24.375" style="6" customWidth="1"/>
    <col min="2" max="2" width="44.25" style="6" customWidth="1"/>
    <col min="3" max="4" width="17.625" style="7" customWidth="1"/>
    <col min="5" max="16384" width="9" style="6"/>
  </cols>
  <sheetData>
    <row r="1" spans="1:12" ht="21" thickBot="1" x14ac:dyDescent="0.25">
      <c r="A1" s="341" t="s">
        <v>25</v>
      </c>
      <c r="B1" s="342"/>
      <c r="C1" s="342"/>
      <c r="D1" s="342"/>
      <c r="E1" s="342"/>
      <c r="F1" s="342"/>
      <c r="G1" s="342"/>
      <c r="H1" s="342"/>
      <c r="I1" s="342"/>
      <c r="J1" s="342"/>
      <c r="K1" s="342"/>
      <c r="L1" s="343"/>
    </row>
    <row r="2" spans="1:12" ht="18.75" x14ac:dyDescent="0.2">
      <c r="A2" s="15" t="str">
        <f>'Takeoff Breakdown'!A3</f>
        <v>Prepared for:</v>
      </c>
      <c r="B2" s="344" t="str">
        <f>'Takeoff Breakdown'!B3</f>
        <v>CAS Rockville Welcome Center, 14645 Rothgeb Drive Rockville, MD 20850</v>
      </c>
      <c r="C2" s="344"/>
      <c r="D2" s="344"/>
      <c r="L2" s="128"/>
    </row>
    <row r="3" spans="1:12" ht="18.75" x14ac:dyDescent="0.2">
      <c r="A3" s="15" t="str">
        <f>'Takeoff Breakdown'!A4</f>
        <v>Project ID:</v>
      </c>
      <c r="B3" s="269">
        <f>'Takeoff Breakdown'!B4</f>
        <v>3112023</v>
      </c>
      <c r="C3" s="304"/>
      <c r="D3" s="6"/>
      <c r="L3" s="128"/>
    </row>
    <row r="4" spans="1:12" ht="18.75" x14ac:dyDescent="0.2">
      <c r="A4" s="15" t="str">
        <f>'Takeoff Breakdown'!A5</f>
        <v>Scope:</v>
      </c>
      <c r="B4" s="305" t="str">
        <f>'Takeoff Breakdown'!B5</f>
        <v>G.C</v>
      </c>
      <c r="C4" s="306"/>
      <c r="D4" s="6"/>
      <c r="L4" s="128"/>
    </row>
    <row r="5" spans="1:12" customFormat="1" ht="18.75" x14ac:dyDescent="0.2">
      <c r="A5" s="15" t="s">
        <v>12</v>
      </c>
      <c r="B5" s="307">
        <v>1</v>
      </c>
      <c r="C5" s="306"/>
      <c r="D5" s="6"/>
      <c r="E5" s="6"/>
      <c r="F5" s="6"/>
      <c r="G5" s="6"/>
      <c r="H5" s="6"/>
      <c r="I5" s="6"/>
      <c r="J5" s="6"/>
      <c r="K5" s="6"/>
      <c r="L5" s="128"/>
    </row>
    <row r="6" spans="1:12" ht="18.75" x14ac:dyDescent="0.25">
      <c r="A6" s="15" t="s">
        <v>16</v>
      </c>
      <c r="B6" s="308">
        <f ca="1">'Takeoff Breakdown'!N9</f>
        <v>45233</v>
      </c>
      <c r="C6" s="309"/>
      <c r="D6" s="6"/>
      <c r="L6" s="128"/>
    </row>
    <row r="7" spans="1:12" ht="16.5" thickBot="1" x14ac:dyDescent="0.3">
      <c r="A7" s="16"/>
      <c r="B7" s="310"/>
      <c r="C7" s="309"/>
      <c r="D7" s="6"/>
      <c r="L7" s="128"/>
    </row>
    <row r="8" spans="1:12" ht="16.5" thickBot="1" x14ac:dyDescent="0.3">
      <c r="A8" s="291" t="s">
        <v>29</v>
      </c>
      <c r="B8" s="292">
        <v>13993</v>
      </c>
      <c r="C8" s="293"/>
      <c r="D8" s="294"/>
      <c r="L8" s="128"/>
    </row>
    <row r="9" spans="1:12" ht="32.25" thickBot="1" x14ac:dyDescent="0.25">
      <c r="A9" s="126" t="s">
        <v>97</v>
      </c>
      <c r="B9" s="127" t="s">
        <v>0</v>
      </c>
      <c r="C9" s="298" t="s">
        <v>13</v>
      </c>
      <c r="D9" s="298" t="s">
        <v>70</v>
      </c>
      <c r="L9" s="128"/>
    </row>
    <row r="10" spans="1:12" ht="15.75" x14ac:dyDescent="0.25">
      <c r="A10" s="125">
        <v>1000</v>
      </c>
      <c r="B10" s="296" t="s">
        <v>90</v>
      </c>
      <c r="C10" s="299">
        <f>'Takeoff Breakdown'!N19</f>
        <v>85500</v>
      </c>
      <c r="D10" s="301">
        <f>C10/$B$8</f>
        <v>6.1101979561209179</v>
      </c>
      <c r="L10" s="128"/>
    </row>
    <row r="11" spans="1:12" ht="15.75" x14ac:dyDescent="0.25">
      <c r="A11" s="17">
        <v>2000</v>
      </c>
      <c r="B11" s="297" t="s">
        <v>91</v>
      </c>
      <c r="C11" s="300">
        <f>'Takeoff Breakdown'!N59</f>
        <v>13824.627359999999</v>
      </c>
      <c r="D11" s="301">
        <f t="shared" ref="D11:D26" si="0">C11/$B$8</f>
        <v>0.98796736654041295</v>
      </c>
      <c r="L11" s="128"/>
    </row>
    <row r="12" spans="1:12" ht="15.75" x14ac:dyDescent="0.25">
      <c r="A12" s="17">
        <v>3000</v>
      </c>
      <c r="B12" s="297" t="s">
        <v>71</v>
      </c>
      <c r="C12" s="300">
        <f>'Takeoff Breakdown'!N74</f>
        <v>20502.554004543334</v>
      </c>
      <c r="D12" s="301">
        <f t="shared" si="0"/>
        <v>1.4652007435534433</v>
      </c>
      <c r="L12" s="128"/>
    </row>
    <row r="13" spans="1:12" ht="15.75" x14ac:dyDescent="0.25">
      <c r="A13" s="17">
        <v>4000</v>
      </c>
      <c r="B13" s="297" t="s">
        <v>72</v>
      </c>
      <c r="C13" s="300">
        <f>'Takeoff Breakdown'!N81</f>
        <v>1468.1672176499997</v>
      </c>
      <c r="D13" s="301">
        <f t="shared" si="0"/>
        <v>0.10492154774887441</v>
      </c>
      <c r="L13" s="128"/>
    </row>
    <row r="14" spans="1:12" ht="15.75" x14ac:dyDescent="0.25">
      <c r="A14" s="17">
        <v>5000</v>
      </c>
      <c r="B14" s="297" t="s">
        <v>73</v>
      </c>
      <c r="C14" s="300">
        <f>'Takeoff Breakdown'!N90</f>
        <v>6390.4590000000007</v>
      </c>
      <c r="D14" s="301">
        <f t="shared" si="0"/>
        <v>0.45668970199385411</v>
      </c>
      <c r="L14" s="128"/>
    </row>
    <row r="15" spans="1:12" ht="15.75" x14ac:dyDescent="0.25">
      <c r="A15" s="17">
        <v>6000</v>
      </c>
      <c r="B15" s="297" t="s">
        <v>93</v>
      </c>
      <c r="C15" s="300">
        <f>'Takeoff Breakdown'!N111</f>
        <v>10548.472999999998</v>
      </c>
      <c r="D15" s="301">
        <f t="shared" si="0"/>
        <v>0.75383927678124762</v>
      </c>
      <c r="L15" s="128"/>
    </row>
    <row r="16" spans="1:12" ht="15.75" x14ac:dyDescent="0.25">
      <c r="A16" s="17">
        <v>7000</v>
      </c>
      <c r="B16" s="297" t="s">
        <v>74</v>
      </c>
      <c r="C16" s="300">
        <f>'Takeoff Breakdown'!N138</f>
        <v>153973.81973715959</v>
      </c>
      <c r="D16" s="301">
        <f t="shared" si="0"/>
        <v>11.003631797124248</v>
      </c>
      <c r="L16" s="128"/>
    </row>
    <row r="17" spans="1:12" ht="15.75" x14ac:dyDescent="0.25">
      <c r="A17" s="17">
        <v>8000</v>
      </c>
      <c r="B17" s="297" t="s">
        <v>75</v>
      </c>
      <c r="C17" s="300">
        <f>'Takeoff Breakdown'!N185</f>
        <v>97992.218795000023</v>
      </c>
      <c r="D17" s="301">
        <f t="shared" si="0"/>
        <v>7.0029456724790986</v>
      </c>
      <c r="L17" s="128"/>
    </row>
    <row r="18" spans="1:12" ht="15.75" x14ac:dyDescent="0.25">
      <c r="A18" s="17">
        <v>9000</v>
      </c>
      <c r="B18" s="297" t="s">
        <v>76</v>
      </c>
      <c r="C18" s="300">
        <f>'Takeoff Breakdown'!N264</f>
        <v>116605.87161885443</v>
      </c>
      <c r="D18" s="301">
        <f>C18/$B$8</f>
        <v>8.3331574086224851</v>
      </c>
      <c r="L18" s="128"/>
    </row>
    <row r="19" spans="1:12" ht="15.75" x14ac:dyDescent="0.25">
      <c r="A19" s="17">
        <v>10000</v>
      </c>
      <c r="B19" s="297" t="s">
        <v>77</v>
      </c>
      <c r="C19" s="300">
        <f>'Takeoff Breakdown'!N271</f>
        <v>1220.3499999999999</v>
      </c>
      <c r="D19" s="301">
        <f t="shared" si="0"/>
        <v>8.7211462874294279E-2</v>
      </c>
      <c r="L19" s="128"/>
    </row>
    <row r="20" spans="1:12" ht="15.75" x14ac:dyDescent="0.25">
      <c r="A20" s="17">
        <v>12000</v>
      </c>
      <c r="B20" s="297" t="s">
        <v>78</v>
      </c>
      <c r="C20" s="300">
        <f>'Takeoff Breakdown'!N281</f>
        <v>6752.0828760000004</v>
      </c>
      <c r="D20" s="301">
        <f t="shared" si="0"/>
        <v>0.48253290045022512</v>
      </c>
      <c r="L20" s="128"/>
    </row>
    <row r="21" spans="1:12" ht="15.75" x14ac:dyDescent="0.25">
      <c r="A21" s="17">
        <v>22000</v>
      </c>
      <c r="B21" s="297" t="s">
        <v>79</v>
      </c>
      <c r="C21" s="300">
        <f>'Takeoff Breakdown'!N330</f>
        <v>24864.077611249999</v>
      </c>
      <c r="D21" s="301">
        <f t="shared" si="0"/>
        <v>1.7768939906560421</v>
      </c>
      <c r="L21" s="128"/>
    </row>
    <row r="22" spans="1:12" ht="15.75" x14ac:dyDescent="0.25">
      <c r="A22" s="17">
        <v>23000</v>
      </c>
      <c r="B22" s="297" t="s">
        <v>92</v>
      </c>
      <c r="C22" s="300">
        <f>'Takeoff Breakdown'!N404</f>
        <v>217957.62591999993</v>
      </c>
      <c r="D22" s="301">
        <f t="shared" si="0"/>
        <v>15.576189946401767</v>
      </c>
      <c r="L22" s="128"/>
    </row>
    <row r="23" spans="1:12" ht="15.75" x14ac:dyDescent="0.25">
      <c r="A23" s="17">
        <v>26000</v>
      </c>
      <c r="B23" s="297" t="s">
        <v>30</v>
      </c>
      <c r="C23" s="300">
        <f>'Takeoff Breakdown'!N456</f>
        <v>111720.804</v>
      </c>
      <c r="D23" s="301">
        <f t="shared" si="0"/>
        <v>7.9840494532980779</v>
      </c>
      <c r="L23" s="128"/>
    </row>
    <row r="24" spans="1:12" ht="15.75" x14ac:dyDescent="0.25">
      <c r="A24" s="17">
        <v>28000</v>
      </c>
      <c r="B24" s="297" t="s">
        <v>620</v>
      </c>
      <c r="C24" s="300">
        <f>'Takeoff Breakdown'!N465</f>
        <v>5403.6299999999992</v>
      </c>
      <c r="D24" s="132">
        <f t="shared" si="0"/>
        <v>0.38616665475594936</v>
      </c>
    </row>
    <row r="25" spans="1:12" ht="15.75" x14ac:dyDescent="0.25">
      <c r="A25" s="17">
        <v>31000</v>
      </c>
      <c r="B25" s="297" t="s">
        <v>80</v>
      </c>
      <c r="C25" s="300">
        <f>'Takeoff Breakdown'!N485</f>
        <v>8116.8465490000008</v>
      </c>
      <c r="D25" s="301">
        <f t="shared" si="0"/>
        <v>0.58006478589294652</v>
      </c>
      <c r="L25" s="128"/>
    </row>
    <row r="26" spans="1:12" ht="16.5" thickBot="1" x14ac:dyDescent="0.3">
      <c r="A26" s="17">
        <v>32000</v>
      </c>
      <c r="B26" s="297" t="s">
        <v>81</v>
      </c>
      <c r="C26" s="300">
        <f>'Takeoff Breakdown'!N536</f>
        <v>39204.90112576024</v>
      </c>
      <c r="D26" s="301">
        <f t="shared" si="0"/>
        <v>2.8017509558893905</v>
      </c>
      <c r="L26" s="128"/>
    </row>
    <row r="27" spans="1:12" ht="16.5" thickBot="1" x14ac:dyDescent="0.25">
      <c r="A27" s="336" t="s">
        <v>14</v>
      </c>
      <c r="B27" s="337"/>
      <c r="C27" s="18">
        <f>SUM(C10:C26)</f>
        <v>922046.50881521753</v>
      </c>
      <c r="D27" s="18">
        <f>SUM(D10:D26)</f>
        <v>65.893411621183276</v>
      </c>
      <c r="F27" s="311"/>
      <c r="L27" s="128"/>
    </row>
    <row r="28" spans="1:12" ht="16.5" thickBot="1" x14ac:dyDescent="0.25">
      <c r="A28" s="338"/>
      <c r="B28" s="338"/>
      <c r="C28" s="338"/>
      <c r="D28" s="338"/>
      <c r="L28" s="128"/>
    </row>
    <row r="29" spans="1:12" ht="15.75" x14ac:dyDescent="0.2">
      <c r="A29" s="312" t="s">
        <v>17</v>
      </c>
      <c r="B29" s="313">
        <f>+'Takeoff Breakdown'!M539</f>
        <v>0.1</v>
      </c>
      <c r="C29" s="302">
        <f>C27*B29</f>
        <v>92204.650881521753</v>
      </c>
      <c r="D29" s="314">
        <f>D27*B29</f>
        <v>6.5893411621183278</v>
      </c>
      <c r="E29" s="311"/>
      <c r="F29" s="311"/>
      <c r="L29" s="128"/>
    </row>
    <row r="30" spans="1:12" ht="15.75" x14ac:dyDescent="0.2">
      <c r="A30" s="19" t="s">
        <v>3</v>
      </c>
      <c r="B30" s="295">
        <f>+'Takeoff Breakdown'!M540</f>
        <v>0.03</v>
      </c>
      <c r="C30" s="303">
        <f>C27*B30</f>
        <v>27661.395264456525</v>
      </c>
      <c r="D30" s="20">
        <f>D27*B30</f>
        <v>1.9768023486354982</v>
      </c>
      <c r="L30" s="128"/>
    </row>
    <row r="31" spans="1:12" ht="15.75" x14ac:dyDescent="0.2">
      <c r="A31" s="19" t="s">
        <v>15</v>
      </c>
      <c r="B31" s="295">
        <f>+'Takeoff Breakdown'!M541</f>
        <v>0.05</v>
      </c>
      <c r="C31" s="303">
        <f>C27*B31</f>
        <v>46102.325440760877</v>
      </c>
      <c r="D31" s="20">
        <f>D27*B31</f>
        <v>3.2946705810591639</v>
      </c>
      <c r="L31" s="128"/>
    </row>
    <row r="32" spans="1:12" ht="16.5" thickBot="1" x14ac:dyDescent="0.25">
      <c r="A32" s="19" t="s">
        <v>24</v>
      </c>
      <c r="B32" s="295">
        <f>'Takeoff Breakdown'!M542</f>
        <v>0.06</v>
      </c>
      <c r="C32" s="303">
        <f>'Takeoff Breakdown'!Q536*B32</f>
        <v>35604.800380794113</v>
      </c>
      <c r="D32" s="20">
        <f>D27*B32</f>
        <v>3.9536046972709964</v>
      </c>
      <c r="L32" s="128"/>
    </row>
    <row r="33" spans="1:12" ht="16.5" thickBot="1" x14ac:dyDescent="0.25">
      <c r="A33" s="339" t="s">
        <v>11</v>
      </c>
      <c r="B33" s="340"/>
      <c r="C33" s="18">
        <f>SUM(C27,C29:C32)</f>
        <v>1123619.6807827507</v>
      </c>
      <c r="D33" s="18">
        <f>SUM(D27,D29:D32)</f>
        <v>81.707830410267263</v>
      </c>
      <c r="E33" s="129"/>
      <c r="F33" s="130"/>
      <c r="G33" s="130"/>
      <c r="H33" s="130"/>
      <c r="I33" s="130"/>
      <c r="J33" s="130"/>
      <c r="K33" s="130"/>
      <c r="L33" s="131"/>
    </row>
    <row r="40" spans="1:12" x14ac:dyDescent="0.2">
      <c r="C40" s="6"/>
      <c r="D40" s="6"/>
    </row>
    <row r="41" spans="1:12" x14ac:dyDescent="0.2">
      <c r="C41" s="6"/>
      <c r="D41" s="6"/>
    </row>
    <row r="42" spans="1:12" x14ac:dyDescent="0.2">
      <c r="C42" s="6"/>
      <c r="D42" s="6"/>
    </row>
    <row r="43" spans="1:12" x14ac:dyDescent="0.2">
      <c r="C43" s="6"/>
      <c r="D43" s="6"/>
    </row>
    <row r="44" spans="1:12" x14ac:dyDescent="0.2">
      <c r="C44" s="6"/>
      <c r="D44" s="6"/>
    </row>
    <row r="45" spans="1:12" x14ac:dyDescent="0.2">
      <c r="C45" s="6"/>
      <c r="D45" s="6"/>
    </row>
    <row r="46" spans="1:12" x14ac:dyDescent="0.2">
      <c r="C46" s="6"/>
      <c r="D46" s="6"/>
    </row>
    <row r="47" spans="1:12" x14ac:dyDescent="0.2">
      <c r="C47" s="6"/>
      <c r="D47" s="6"/>
    </row>
    <row r="48" spans="1:12" x14ac:dyDescent="0.2">
      <c r="C48" s="6"/>
      <c r="D48" s="6"/>
    </row>
  </sheetData>
  <mergeCells count="5">
    <mergeCell ref="A27:B27"/>
    <mergeCell ref="A28:D28"/>
    <mergeCell ref="A33:B33"/>
    <mergeCell ref="A1:L1"/>
    <mergeCell ref="B2:D2"/>
  </mergeCells>
  <pageMargins left="0.7" right="0.7" top="0.75" bottom="0.75" header="0.3" footer="0.3"/>
  <pageSetup scale="64"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70C0"/>
    <pageSetUpPr fitToPage="1"/>
  </sheetPr>
  <dimension ref="A1:T543"/>
  <sheetViews>
    <sheetView showGridLines="0" tabSelected="1" view="pageBreakPreview" topLeftCell="A2" zoomScale="70" zoomScaleNormal="85" zoomScaleSheetLayoutView="70" workbookViewId="0">
      <selection activeCell="M17" sqref="M17"/>
    </sheetView>
  </sheetViews>
  <sheetFormatPr defaultColWidth="9" defaultRowHeight="14.25" x14ac:dyDescent="0.2"/>
  <cols>
    <col min="1" max="1" width="16" style="4" customWidth="1"/>
    <col min="2" max="3" width="16" style="158" customWidth="1"/>
    <col min="4" max="4" width="56.875" style="4" customWidth="1"/>
    <col min="5" max="5" width="10.625" style="4" customWidth="1"/>
    <col min="6" max="6" width="11.125" style="5" bestFit="1" customWidth="1"/>
    <col min="7" max="7" width="10.375" style="5" bestFit="1" customWidth="1"/>
    <col min="8" max="8" width="14" style="5" customWidth="1"/>
    <col min="9" max="9" width="11.375" style="260" bestFit="1" customWidth="1"/>
    <col min="10" max="10" width="9.25" style="253" bestFit="1" customWidth="1"/>
    <col min="11" max="11" width="12.625" style="4" customWidth="1"/>
    <col min="12" max="12" width="11.625" style="4" bestFit="1" customWidth="1"/>
    <col min="13" max="13" width="12.125" style="8" bestFit="1" customWidth="1"/>
    <col min="14" max="14" width="12.625" style="8" customWidth="1"/>
    <col min="15" max="15" width="11.25" style="4" bestFit="1" customWidth="1"/>
    <col min="16" max="16" width="13.5" style="4" bestFit="1" customWidth="1"/>
    <col min="17" max="17" width="12.875" style="4" bestFit="1" customWidth="1"/>
    <col min="18" max="16384" width="9" style="4"/>
  </cols>
  <sheetData>
    <row r="1" spans="1:18" s="1" customFormat="1" ht="15" hidden="1" customHeight="1" thickTop="1" x14ac:dyDescent="0.2">
      <c r="A1" s="2"/>
      <c r="B1" s="141"/>
      <c r="C1" s="141"/>
      <c r="D1" s="3"/>
      <c r="E1" s="3"/>
      <c r="F1" s="3"/>
      <c r="G1" s="3"/>
      <c r="H1" s="3"/>
      <c r="I1" s="254"/>
      <c r="J1" s="237"/>
      <c r="K1" s="3"/>
      <c r="L1" s="3"/>
      <c r="M1" s="3"/>
      <c r="N1" s="3"/>
    </row>
    <row r="2" spans="1:18" ht="21" thickBot="1" x14ac:dyDescent="0.25">
      <c r="A2" s="341" t="s">
        <v>26</v>
      </c>
      <c r="B2" s="342"/>
      <c r="C2" s="342"/>
      <c r="D2" s="342"/>
      <c r="E2" s="342"/>
      <c r="F2" s="342"/>
      <c r="G2" s="342"/>
      <c r="H2" s="342"/>
      <c r="I2" s="342"/>
      <c r="J2" s="342"/>
      <c r="K2" s="342"/>
      <c r="L2" s="342"/>
      <c r="M2" s="342"/>
      <c r="N2" s="343"/>
    </row>
    <row r="3" spans="1:18" ht="18.75" x14ac:dyDescent="0.2">
      <c r="A3" s="21" t="s">
        <v>23</v>
      </c>
      <c r="B3" s="262" t="s">
        <v>435</v>
      </c>
      <c r="C3" s="263"/>
      <c r="D3" s="264"/>
      <c r="E3" s="262"/>
      <c r="F3" s="265"/>
      <c r="G3" s="265"/>
      <c r="H3" s="262"/>
      <c r="I3" s="266"/>
      <c r="J3" s="267"/>
      <c r="K3" s="262"/>
      <c r="L3" s="262"/>
      <c r="M3" s="268"/>
      <c r="N3" s="22"/>
    </row>
    <row r="4" spans="1:18" ht="18" customHeight="1" x14ac:dyDescent="0.2">
      <c r="A4" s="21" t="s">
        <v>31</v>
      </c>
      <c r="B4" s="269">
        <v>3112023</v>
      </c>
      <c r="C4" s="263"/>
      <c r="D4" s="264"/>
      <c r="E4" s="270"/>
      <c r="F4" s="271"/>
      <c r="G4" s="271"/>
      <c r="H4" s="271"/>
      <c r="I4" s="272"/>
      <c r="J4" s="273"/>
      <c r="K4" s="262"/>
      <c r="L4" s="262"/>
      <c r="M4" s="268"/>
      <c r="N4" s="22"/>
    </row>
    <row r="5" spans="1:18" ht="18" customHeight="1" x14ac:dyDescent="0.2">
      <c r="A5" s="23" t="s">
        <v>19</v>
      </c>
      <c r="B5" s="274" t="s">
        <v>69</v>
      </c>
      <c r="C5" s="275"/>
      <c r="D5" s="264"/>
      <c r="E5" s="276"/>
      <c r="F5" s="276"/>
      <c r="G5" s="271"/>
      <c r="H5" s="271"/>
      <c r="I5" s="272"/>
      <c r="J5" s="273"/>
      <c r="K5" s="277"/>
      <c r="L5" s="277"/>
      <c r="M5" s="278"/>
      <c r="N5" s="24"/>
    </row>
    <row r="6" spans="1:18" ht="18" customHeight="1" x14ac:dyDescent="0.2">
      <c r="A6" s="23"/>
      <c r="B6" s="275"/>
      <c r="C6" s="275"/>
      <c r="D6" s="274"/>
      <c r="E6" s="276"/>
      <c r="F6" s="276"/>
      <c r="G6" s="271"/>
      <c r="H6" s="271"/>
      <c r="I6" s="272"/>
      <c r="J6" s="273"/>
      <c r="K6" s="277"/>
      <c r="L6" s="277"/>
      <c r="M6" s="278"/>
      <c r="N6" s="24"/>
    </row>
    <row r="7" spans="1:18" ht="18" customHeight="1" x14ac:dyDescent="0.2">
      <c r="A7" s="23"/>
      <c r="B7" s="275"/>
      <c r="C7" s="275"/>
      <c r="D7" s="274"/>
      <c r="E7" s="276"/>
      <c r="F7" s="276"/>
      <c r="G7" s="271"/>
      <c r="H7" s="271"/>
      <c r="I7" s="272"/>
      <c r="J7" s="273"/>
      <c r="K7" s="277"/>
      <c r="L7" s="277"/>
      <c r="M7" s="278"/>
      <c r="N7" s="24"/>
    </row>
    <row r="8" spans="1:18" ht="6.75" customHeight="1" x14ac:dyDescent="0.2">
      <c r="A8" s="23"/>
      <c r="B8" s="275"/>
      <c r="C8" s="275"/>
      <c r="D8" s="276"/>
      <c r="E8" s="276"/>
      <c r="F8" s="276"/>
      <c r="G8" s="271"/>
      <c r="H8" s="271"/>
      <c r="I8" s="272"/>
      <c r="J8" s="273"/>
      <c r="K8" s="277"/>
      <c r="L8" s="277"/>
      <c r="M8" s="278"/>
      <c r="N8" s="24"/>
    </row>
    <row r="9" spans="1:18" ht="19.5" thickBot="1" x14ac:dyDescent="0.25">
      <c r="A9" s="25"/>
      <c r="B9" s="263"/>
      <c r="C9" s="263"/>
      <c r="D9" s="279"/>
      <c r="E9" s="270"/>
      <c r="F9" s="271"/>
      <c r="G9" s="271"/>
      <c r="H9" s="271"/>
      <c r="I9" s="272"/>
      <c r="J9" s="273"/>
      <c r="K9" s="262"/>
      <c r="L9" s="262"/>
      <c r="M9" s="268" t="s">
        <v>16</v>
      </c>
      <c r="N9" s="261">
        <f ca="1">TODAY()</f>
        <v>45233</v>
      </c>
    </row>
    <row r="10" spans="1:18" s="1" customFormat="1" ht="59.45" customHeight="1" thickTop="1" x14ac:dyDescent="0.2">
      <c r="A10" s="10" t="s">
        <v>6</v>
      </c>
      <c r="B10" s="11" t="s">
        <v>35</v>
      </c>
      <c r="C10" s="11" t="s">
        <v>36</v>
      </c>
      <c r="D10" s="12" t="s">
        <v>0</v>
      </c>
      <c r="E10" s="12" t="s">
        <v>2</v>
      </c>
      <c r="F10" s="12" t="s">
        <v>1</v>
      </c>
      <c r="G10" s="12" t="s">
        <v>20</v>
      </c>
      <c r="H10" s="12" t="s">
        <v>21</v>
      </c>
      <c r="I10" s="255" t="s">
        <v>37</v>
      </c>
      <c r="J10" s="238" t="s">
        <v>38</v>
      </c>
      <c r="K10" s="12" t="s">
        <v>27</v>
      </c>
      <c r="L10" s="12" t="s">
        <v>28</v>
      </c>
      <c r="M10" s="12" t="s">
        <v>5</v>
      </c>
      <c r="N10" s="13" t="s">
        <v>9</v>
      </c>
      <c r="O10" s="4"/>
      <c r="P10" s="4"/>
      <c r="Q10" s="4"/>
      <c r="R10" s="4"/>
    </row>
    <row r="11" spans="1:18" s="14" customFormat="1" ht="18" customHeight="1" x14ac:dyDescent="0.2">
      <c r="A11" s="50"/>
      <c r="B11" s="151"/>
      <c r="C11" s="151"/>
      <c r="D11" s="52"/>
      <c r="E11" s="53" t="s">
        <v>18</v>
      </c>
      <c r="F11" s="54"/>
      <c r="G11" s="54"/>
      <c r="H11" s="54"/>
      <c r="I11" s="167"/>
      <c r="J11" s="239"/>
      <c r="K11" s="54"/>
      <c r="L11" s="54"/>
      <c r="M11" s="55"/>
      <c r="N11" s="56"/>
      <c r="O11" s="4"/>
      <c r="P11" s="4"/>
      <c r="Q11" s="4"/>
      <c r="R11" s="4"/>
    </row>
    <row r="12" spans="1:18" ht="18" customHeight="1" x14ac:dyDescent="0.2">
      <c r="A12" s="26">
        <f>IF(G12&lt;&gt;"",1+MAX($A$2:A11),"")</f>
        <v>1</v>
      </c>
      <c r="B12" s="142"/>
      <c r="C12" s="142"/>
      <c r="D12" s="27" t="s">
        <v>84</v>
      </c>
      <c r="E12" s="218" t="s">
        <v>4</v>
      </c>
      <c r="F12" s="218">
        <v>1</v>
      </c>
      <c r="G12" s="28">
        <v>0</v>
      </c>
      <c r="H12" s="29">
        <f t="shared" ref="H12:H18" si="0">(G12*F12)+F12</f>
        <v>1</v>
      </c>
      <c r="I12" s="133">
        <v>0</v>
      </c>
      <c r="J12" s="240">
        <v>0</v>
      </c>
      <c r="K12" s="30">
        <v>0</v>
      </c>
      <c r="L12" s="30">
        <v>0</v>
      </c>
      <c r="M12" s="31"/>
      <c r="N12" s="32">
        <f>H12*M12</f>
        <v>0</v>
      </c>
      <c r="O12" s="9"/>
    </row>
    <row r="13" spans="1:18" ht="18" customHeight="1" x14ac:dyDescent="0.2">
      <c r="A13" s="33">
        <f>IF(G13&lt;&gt;"",1+MAX($A$2:A12),"")</f>
        <v>2</v>
      </c>
      <c r="B13" s="143"/>
      <c r="C13" s="143"/>
      <c r="D13" s="134" t="s">
        <v>85</v>
      </c>
      <c r="E13" s="218" t="s">
        <v>4</v>
      </c>
      <c r="F13" s="35">
        <v>1</v>
      </c>
      <c r="G13" s="36">
        <v>0</v>
      </c>
      <c r="H13" s="37">
        <f t="shared" si="0"/>
        <v>1</v>
      </c>
      <c r="I13" s="133">
        <v>0</v>
      </c>
      <c r="J13" s="240">
        <v>0</v>
      </c>
      <c r="K13" s="38">
        <v>0</v>
      </c>
      <c r="L13" s="38">
        <v>0</v>
      </c>
      <c r="M13" s="39">
        <v>45000</v>
      </c>
      <c r="N13" s="40">
        <f t="shared" ref="N13:N18" si="1">H13*M13</f>
        <v>45000</v>
      </c>
      <c r="O13" s="9"/>
    </row>
    <row r="14" spans="1:18" ht="18" customHeight="1" x14ac:dyDescent="0.2">
      <c r="A14" s="33">
        <f>IF(G14&lt;&gt;"",1+MAX($A$2:A13),"")</f>
        <v>3</v>
      </c>
      <c r="B14" s="143"/>
      <c r="C14" s="143"/>
      <c r="D14" s="134" t="s">
        <v>86</v>
      </c>
      <c r="E14" s="218" t="s">
        <v>4</v>
      </c>
      <c r="F14" s="35">
        <v>1</v>
      </c>
      <c r="G14" s="36">
        <v>0</v>
      </c>
      <c r="H14" s="37">
        <f t="shared" si="0"/>
        <v>1</v>
      </c>
      <c r="I14" s="133">
        <v>0</v>
      </c>
      <c r="J14" s="240">
        <v>0</v>
      </c>
      <c r="K14" s="38">
        <v>0</v>
      </c>
      <c r="L14" s="38">
        <v>0</v>
      </c>
      <c r="M14" s="39">
        <v>2500</v>
      </c>
      <c r="N14" s="40">
        <f t="shared" si="1"/>
        <v>2500</v>
      </c>
      <c r="O14" s="9"/>
    </row>
    <row r="15" spans="1:18" ht="18" customHeight="1" x14ac:dyDescent="0.2">
      <c r="A15" s="33">
        <f>IF(G15&lt;&gt;"",1+MAX($A$2:A14),"")</f>
        <v>4</v>
      </c>
      <c r="B15" s="143"/>
      <c r="C15" s="143"/>
      <c r="D15" s="134" t="s">
        <v>8</v>
      </c>
      <c r="E15" s="218" t="s">
        <v>4</v>
      </c>
      <c r="F15" s="35">
        <v>1</v>
      </c>
      <c r="G15" s="36">
        <v>0</v>
      </c>
      <c r="H15" s="37">
        <f t="shared" si="0"/>
        <v>1</v>
      </c>
      <c r="I15" s="133">
        <v>0</v>
      </c>
      <c r="J15" s="240">
        <v>0</v>
      </c>
      <c r="K15" s="38">
        <v>0</v>
      </c>
      <c r="L15" s="38">
        <v>0</v>
      </c>
      <c r="M15" s="39">
        <v>2000</v>
      </c>
      <c r="N15" s="40">
        <f t="shared" si="1"/>
        <v>2000</v>
      </c>
      <c r="O15" s="9"/>
    </row>
    <row r="16" spans="1:18" ht="18" customHeight="1" x14ac:dyDescent="0.2">
      <c r="A16" s="33">
        <f>IF(G16&lt;&gt;"",1+MAX($A$2:A15),"")</f>
        <v>5</v>
      </c>
      <c r="B16" s="143"/>
      <c r="C16" s="143"/>
      <c r="D16" s="134" t="s">
        <v>87</v>
      </c>
      <c r="E16" s="218" t="s">
        <v>4</v>
      </c>
      <c r="F16" s="35">
        <v>1</v>
      </c>
      <c r="G16" s="36">
        <v>0</v>
      </c>
      <c r="H16" s="37">
        <f t="shared" si="0"/>
        <v>1</v>
      </c>
      <c r="I16" s="133">
        <v>0</v>
      </c>
      <c r="J16" s="240">
        <v>0</v>
      </c>
      <c r="K16" s="38">
        <v>0</v>
      </c>
      <c r="L16" s="38">
        <v>0</v>
      </c>
      <c r="M16" s="39">
        <v>28500</v>
      </c>
      <c r="N16" s="40">
        <f t="shared" si="1"/>
        <v>28500</v>
      </c>
      <c r="O16" s="9"/>
    </row>
    <row r="17" spans="1:18" ht="18" customHeight="1" x14ac:dyDescent="0.2">
      <c r="A17" s="33">
        <f>IF(G17&lt;&gt;"",1+MAX($A$2:A16),"")</f>
        <v>6</v>
      </c>
      <c r="B17" s="143"/>
      <c r="C17" s="143"/>
      <c r="D17" s="134" t="s">
        <v>88</v>
      </c>
      <c r="E17" s="218" t="s">
        <v>4</v>
      </c>
      <c r="F17" s="35">
        <v>1</v>
      </c>
      <c r="G17" s="36">
        <v>0</v>
      </c>
      <c r="H17" s="37">
        <f t="shared" si="0"/>
        <v>1</v>
      </c>
      <c r="I17" s="133">
        <v>0</v>
      </c>
      <c r="J17" s="240">
        <v>0</v>
      </c>
      <c r="K17" s="38">
        <v>0</v>
      </c>
      <c r="L17" s="38">
        <v>0</v>
      </c>
      <c r="M17" s="39">
        <v>5500</v>
      </c>
      <c r="N17" s="40">
        <f t="shared" si="1"/>
        <v>5500</v>
      </c>
      <c r="O17" s="9"/>
    </row>
    <row r="18" spans="1:18" ht="18" customHeight="1" x14ac:dyDescent="0.2">
      <c r="A18" s="33">
        <f>IF(G18&lt;&gt;"",1+MAX($A$2:A17),"")</f>
        <v>7</v>
      </c>
      <c r="B18" s="143"/>
      <c r="C18" s="143"/>
      <c r="D18" s="134" t="s">
        <v>89</v>
      </c>
      <c r="E18" s="218" t="s">
        <v>4</v>
      </c>
      <c r="F18" s="35">
        <v>1</v>
      </c>
      <c r="G18" s="36">
        <v>0</v>
      </c>
      <c r="H18" s="37">
        <f t="shared" si="0"/>
        <v>1</v>
      </c>
      <c r="I18" s="133">
        <v>0</v>
      </c>
      <c r="J18" s="240">
        <v>0</v>
      </c>
      <c r="K18" s="38">
        <v>0</v>
      </c>
      <c r="L18" s="38">
        <v>0</v>
      </c>
      <c r="M18" s="39">
        <v>2000</v>
      </c>
      <c r="N18" s="41">
        <f t="shared" si="1"/>
        <v>2000</v>
      </c>
      <c r="O18" s="9"/>
    </row>
    <row r="19" spans="1:18" s="1" customFormat="1" ht="15" customHeight="1" x14ac:dyDescent="0.2">
      <c r="A19" s="42" t="str">
        <f>IF(G19&lt;&gt;"",1+MAX($A$2:A18),"")</f>
        <v/>
      </c>
      <c r="B19" s="152"/>
      <c r="C19" s="152"/>
      <c r="D19" s="43"/>
      <c r="E19" s="43"/>
      <c r="F19" s="43"/>
      <c r="G19" s="43"/>
      <c r="H19" s="43"/>
      <c r="I19" s="256"/>
      <c r="J19" s="241"/>
      <c r="K19" s="44"/>
      <c r="L19" s="44"/>
      <c r="M19" s="45" t="s">
        <v>22</v>
      </c>
      <c r="N19" s="46">
        <f>SUM(N12:N18)</f>
        <v>85500</v>
      </c>
      <c r="O19" s="4"/>
      <c r="P19" s="4"/>
      <c r="Q19" s="4"/>
      <c r="R19" s="4"/>
    </row>
    <row r="20" spans="1:18" ht="16.5" thickBot="1" x14ac:dyDescent="0.25">
      <c r="A20" s="47" t="str">
        <f>IF(G20&lt;&gt;"",1+MAX($A$2:A19),"")</f>
        <v/>
      </c>
      <c r="B20" s="280"/>
      <c r="C20" s="280"/>
      <c r="D20" s="281"/>
      <c r="E20" s="281"/>
      <c r="F20" s="281"/>
      <c r="G20" s="281"/>
      <c r="H20" s="281"/>
      <c r="I20" s="282"/>
      <c r="J20" s="283"/>
      <c r="K20" s="48"/>
      <c r="L20" s="48"/>
      <c r="M20" s="284"/>
      <c r="N20" s="49"/>
    </row>
    <row r="21" spans="1:18" ht="29.25" thickBot="1" x14ac:dyDescent="0.25">
      <c r="A21" s="50" t="str">
        <f>IF(G21&lt;&gt;"",1+MAX($A$2:A20),"")</f>
        <v/>
      </c>
      <c r="B21" s="151"/>
      <c r="C21" s="151"/>
      <c r="D21" s="52"/>
      <c r="E21" s="53" t="s">
        <v>39</v>
      </c>
      <c r="F21" s="54"/>
      <c r="G21" s="54"/>
      <c r="H21" s="54"/>
      <c r="I21" s="167"/>
      <c r="J21" s="239"/>
      <c r="K21" s="54"/>
      <c r="L21" s="54"/>
      <c r="M21" s="55"/>
      <c r="N21" s="56"/>
      <c r="P21" s="322" t="s">
        <v>27</v>
      </c>
      <c r="Q21" s="323" t="s">
        <v>28</v>
      </c>
    </row>
    <row r="22" spans="1:18" ht="18" customHeight="1" x14ac:dyDescent="0.2">
      <c r="A22" s="57" t="str">
        <f>IF(G22&lt;&gt;"",1+MAX($A$2:A21),"")</f>
        <v/>
      </c>
      <c r="B22" s="146"/>
      <c r="C22" s="147"/>
      <c r="D22" s="226" t="s">
        <v>33</v>
      </c>
      <c r="E22" s="58"/>
      <c r="F22" s="59"/>
      <c r="G22" s="36"/>
      <c r="H22" s="37"/>
      <c r="I22" s="66"/>
      <c r="J22" s="242"/>
      <c r="K22" s="60"/>
      <c r="L22" s="60"/>
      <c r="M22" s="39"/>
      <c r="N22" s="40"/>
      <c r="P22" s="320"/>
      <c r="Q22" s="321"/>
    </row>
    <row r="23" spans="1:18" ht="31.5" x14ac:dyDescent="0.25">
      <c r="A23" s="26">
        <f>IF(G23&lt;&gt;"",1+MAX($A$2:A22),"")</f>
        <v>8</v>
      </c>
      <c r="B23" s="380" t="s">
        <v>164</v>
      </c>
      <c r="C23" s="351" t="s">
        <v>165</v>
      </c>
      <c r="D23" s="139" t="s">
        <v>180</v>
      </c>
      <c r="E23" s="35" t="s">
        <v>32</v>
      </c>
      <c r="F23" s="35">
        <v>9</v>
      </c>
      <c r="G23" s="28">
        <v>0</v>
      </c>
      <c r="H23" s="29">
        <f>(G23*F23)+F23</f>
        <v>9</v>
      </c>
      <c r="I23" s="133">
        <v>1.32</v>
      </c>
      <c r="J23" s="240">
        <v>32</v>
      </c>
      <c r="K23" s="30">
        <f t="shared" ref="K23:K29" si="2">I23*J23</f>
        <v>42.24</v>
      </c>
      <c r="L23" s="30">
        <v>0</v>
      </c>
      <c r="M23" s="31">
        <f t="shared" ref="M23:M29" si="3">K23+L23</f>
        <v>42.24</v>
      </c>
      <c r="N23" s="32">
        <f t="shared" ref="N23:N29" si="4">H23*M23</f>
        <v>380.16</v>
      </c>
      <c r="P23" s="318">
        <f>K23*H23</f>
        <v>380.16</v>
      </c>
      <c r="Q23" s="319">
        <f>L23*H23</f>
        <v>0</v>
      </c>
    </row>
    <row r="24" spans="1:18" ht="78.75" x14ac:dyDescent="0.25">
      <c r="A24" s="26">
        <f>IF(G24&lt;&gt;"",1+MAX($A$2:A23),"")</f>
        <v>9</v>
      </c>
      <c r="B24" s="381"/>
      <c r="C24" s="359"/>
      <c r="D24" s="139" t="s">
        <v>181</v>
      </c>
      <c r="E24" s="35" t="s">
        <v>32</v>
      </c>
      <c r="F24" s="35">
        <v>4</v>
      </c>
      <c r="G24" s="28">
        <v>0</v>
      </c>
      <c r="H24" s="29">
        <f>(G24*F24)+F24</f>
        <v>4</v>
      </c>
      <c r="I24" s="133">
        <v>1.32</v>
      </c>
      <c r="J24" s="240">
        <f>J$23</f>
        <v>32</v>
      </c>
      <c r="K24" s="30">
        <f t="shared" ref="K24" si="5">I24*J24</f>
        <v>42.24</v>
      </c>
      <c r="L24" s="30">
        <v>0</v>
      </c>
      <c r="M24" s="31">
        <f t="shared" ref="M24" si="6">K24+L24</f>
        <v>42.24</v>
      </c>
      <c r="N24" s="32">
        <f t="shared" ref="N24" si="7">H24*M24</f>
        <v>168.96</v>
      </c>
      <c r="P24" s="318">
        <f t="shared" ref="P24:P87" si="8">K24*H24</f>
        <v>168.96</v>
      </c>
      <c r="Q24" s="319">
        <f t="shared" ref="Q24:Q87" si="9">L24*H24</f>
        <v>0</v>
      </c>
    </row>
    <row r="25" spans="1:18" ht="18" customHeight="1" x14ac:dyDescent="0.25">
      <c r="A25" s="26">
        <f>IF(G25&lt;&gt;"",1+MAX($A$2:A24),"")</f>
        <v>10</v>
      </c>
      <c r="B25" s="381"/>
      <c r="C25" s="359"/>
      <c r="D25" s="138" t="s">
        <v>153</v>
      </c>
      <c r="E25" s="35" t="s">
        <v>7</v>
      </c>
      <c r="F25" s="37">
        <f>140.67*11</f>
        <v>1547.37</v>
      </c>
      <c r="G25" s="36">
        <v>0</v>
      </c>
      <c r="H25" s="29">
        <f t="shared" ref="H25:H28" si="10">(G25*F25)+F25</f>
        <v>1547.37</v>
      </c>
      <c r="I25" s="133">
        <v>0.01</v>
      </c>
      <c r="J25" s="240">
        <f t="shared" ref="J25:J53" si="11">J$23</f>
        <v>32</v>
      </c>
      <c r="K25" s="38">
        <f t="shared" si="2"/>
        <v>0.32</v>
      </c>
      <c r="L25" s="38">
        <v>0</v>
      </c>
      <c r="M25" s="39">
        <f t="shared" si="3"/>
        <v>0.32</v>
      </c>
      <c r="N25" s="40">
        <f t="shared" si="4"/>
        <v>495.15839999999997</v>
      </c>
      <c r="P25" s="318">
        <f t="shared" si="8"/>
        <v>495.15839999999997</v>
      </c>
      <c r="Q25" s="319">
        <f t="shared" si="9"/>
        <v>0</v>
      </c>
    </row>
    <row r="26" spans="1:18" ht="15.75" x14ac:dyDescent="0.25">
      <c r="A26" s="33">
        <f>IF(G26&lt;&gt;"",1+MAX($A$2:A25),"")</f>
        <v>11</v>
      </c>
      <c r="B26" s="381"/>
      <c r="C26" s="359"/>
      <c r="D26" s="138" t="s">
        <v>182</v>
      </c>
      <c r="E26" s="35" t="s">
        <v>7</v>
      </c>
      <c r="F26" s="35">
        <v>28</v>
      </c>
      <c r="G26" s="36">
        <v>0</v>
      </c>
      <c r="H26" s="29">
        <f t="shared" si="10"/>
        <v>28</v>
      </c>
      <c r="I26" s="133">
        <v>1.2</v>
      </c>
      <c r="J26" s="240">
        <f t="shared" si="11"/>
        <v>32</v>
      </c>
      <c r="K26" s="38">
        <f t="shared" si="2"/>
        <v>38.4</v>
      </c>
      <c r="L26" s="38">
        <v>0</v>
      </c>
      <c r="M26" s="39">
        <f t="shared" si="3"/>
        <v>38.4</v>
      </c>
      <c r="N26" s="40">
        <f t="shared" si="4"/>
        <v>1075.2</v>
      </c>
      <c r="O26" s="9"/>
      <c r="P26" s="318">
        <f t="shared" si="8"/>
        <v>1075.2</v>
      </c>
      <c r="Q26" s="319">
        <f t="shared" si="9"/>
        <v>0</v>
      </c>
    </row>
    <row r="27" spans="1:18" ht="18" customHeight="1" x14ac:dyDescent="0.25">
      <c r="A27" s="33">
        <f>IF(G27&lt;&gt;"",1+MAX($A$2:A26),"")</f>
        <v>12</v>
      </c>
      <c r="B27" s="381"/>
      <c r="C27" s="359"/>
      <c r="D27" s="138" t="s">
        <v>154</v>
      </c>
      <c r="E27" s="35" t="s">
        <v>7</v>
      </c>
      <c r="F27" s="37">
        <f>9.5*6.36</f>
        <v>60.42</v>
      </c>
      <c r="G27" s="36">
        <v>0</v>
      </c>
      <c r="H27" s="29">
        <f t="shared" si="10"/>
        <v>60.42</v>
      </c>
      <c r="I27" s="133">
        <v>2.8000000000000001E-2</v>
      </c>
      <c r="J27" s="240">
        <f t="shared" si="11"/>
        <v>32</v>
      </c>
      <c r="K27" s="38">
        <f t="shared" si="2"/>
        <v>0.89600000000000002</v>
      </c>
      <c r="L27" s="38">
        <v>0</v>
      </c>
      <c r="M27" s="39">
        <f t="shared" si="3"/>
        <v>0.89600000000000002</v>
      </c>
      <c r="N27" s="40">
        <f t="shared" si="4"/>
        <v>54.136320000000005</v>
      </c>
      <c r="P27" s="318">
        <f t="shared" si="8"/>
        <v>54.136320000000005</v>
      </c>
      <c r="Q27" s="319">
        <f t="shared" si="9"/>
        <v>0</v>
      </c>
    </row>
    <row r="28" spans="1:18" ht="18" customHeight="1" x14ac:dyDescent="0.25">
      <c r="A28" s="33">
        <f>IF(G28&lt;&gt;"",1+MAX($A$2:A27),"")</f>
        <v>13</v>
      </c>
      <c r="B28" s="381"/>
      <c r="C28" s="359"/>
      <c r="D28" s="138" t="s">
        <v>192</v>
      </c>
      <c r="E28" s="35" t="s">
        <v>7</v>
      </c>
      <c r="F28" s="35">
        <v>31</v>
      </c>
      <c r="G28" s="36">
        <v>0</v>
      </c>
      <c r="H28" s="29">
        <f t="shared" si="10"/>
        <v>31</v>
      </c>
      <c r="I28" s="133">
        <v>0.5</v>
      </c>
      <c r="J28" s="240">
        <f t="shared" si="11"/>
        <v>32</v>
      </c>
      <c r="K28" s="38">
        <f t="shared" si="2"/>
        <v>16</v>
      </c>
      <c r="L28" s="38">
        <v>0</v>
      </c>
      <c r="M28" s="39">
        <f t="shared" si="3"/>
        <v>16</v>
      </c>
      <c r="N28" s="40">
        <f t="shared" si="4"/>
        <v>496</v>
      </c>
      <c r="P28" s="318">
        <f t="shared" si="8"/>
        <v>496</v>
      </c>
      <c r="Q28" s="319">
        <f t="shared" si="9"/>
        <v>0</v>
      </c>
    </row>
    <row r="29" spans="1:18" ht="18" customHeight="1" x14ac:dyDescent="0.25">
      <c r="A29" s="33">
        <f>IF(G29&lt;&gt;"",1+MAX($A$2:A28),"")</f>
        <v>14</v>
      </c>
      <c r="B29" s="381"/>
      <c r="C29" s="359"/>
      <c r="D29" s="138" t="s">
        <v>623</v>
      </c>
      <c r="E29" s="35" t="s">
        <v>7</v>
      </c>
      <c r="F29" s="37">
        <f>9.25*30.32</f>
        <v>280.45999999999998</v>
      </c>
      <c r="G29" s="36">
        <v>0</v>
      </c>
      <c r="H29" s="29">
        <f>(G29*F29)+F29</f>
        <v>280.45999999999998</v>
      </c>
      <c r="I29" s="133">
        <v>2.8000000000000001E-2</v>
      </c>
      <c r="J29" s="240">
        <f t="shared" si="11"/>
        <v>32</v>
      </c>
      <c r="K29" s="38">
        <f t="shared" si="2"/>
        <v>0.89600000000000002</v>
      </c>
      <c r="L29" s="38">
        <v>0</v>
      </c>
      <c r="M29" s="39">
        <f t="shared" si="3"/>
        <v>0.89600000000000002</v>
      </c>
      <c r="N29" s="40">
        <f t="shared" si="4"/>
        <v>251.29216</v>
      </c>
      <c r="P29" s="318">
        <f t="shared" si="8"/>
        <v>251.29216</v>
      </c>
      <c r="Q29" s="319">
        <f t="shared" si="9"/>
        <v>0</v>
      </c>
    </row>
    <row r="30" spans="1:18" ht="31.5" x14ac:dyDescent="0.25">
      <c r="A30" s="33">
        <f>IF(G30&lt;&gt;"",1+MAX($A$2:A29),"")</f>
        <v>15</v>
      </c>
      <c r="B30" s="381"/>
      <c r="C30" s="359"/>
      <c r="D30" s="139" t="s">
        <v>155</v>
      </c>
      <c r="E30" s="35" t="s">
        <v>7</v>
      </c>
      <c r="F30" s="35">
        <v>462</v>
      </c>
      <c r="G30" s="36">
        <v>0</v>
      </c>
      <c r="H30" s="29">
        <f t="shared" ref="H30:H41" si="12">(G30*F30)+F30</f>
        <v>462</v>
      </c>
      <c r="I30" s="133">
        <v>3.2000000000000001E-2</v>
      </c>
      <c r="J30" s="240">
        <f t="shared" si="11"/>
        <v>32</v>
      </c>
      <c r="K30" s="38">
        <f t="shared" ref="K30:K41" si="13">I30*J30</f>
        <v>1.024</v>
      </c>
      <c r="L30" s="38">
        <v>0</v>
      </c>
      <c r="M30" s="39">
        <f t="shared" ref="M30:M41" si="14">K30+L30</f>
        <v>1.024</v>
      </c>
      <c r="N30" s="40">
        <f t="shared" ref="N30:N41" si="15">H30*M30</f>
        <v>473.08800000000002</v>
      </c>
      <c r="P30" s="318">
        <f t="shared" si="8"/>
        <v>473.08800000000002</v>
      </c>
      <c r="Q30" s="319">
        <f t="shared" si="9"/>
        <v>0</v>
      </c>
    </row>
    <row r="31" spans="1:18" ht="18" customHeight="1" x14ac:dyDescent="0.25">
      <c r="A31" s="33">
        <f>IF(G31&lt;&gt;"",1+MAX($A$2:A30),"")</f>
        <v>16</v>
      </c>
      <c r="B31" s="381"/>
      <c r="C31" s="359"/>
      <c r="D31" s="138" t="s">
        <v>156</v>
      </c>
      <c r="E31" s="35" t="s">
        <v>32</v>
      </c>
      <c r="F31" s="35">
        <v>12</v>
      </c>
      <c r="G31" s="36">
        <v>0</v>
      </c>
      <c r="H31" s="29">
        <f t="shared" si="12"/>
        <v>12</v>
      </c>
      <c r="I31" s="133">
        <v>0.5</v>
      </c>
      <c r="J31" s="240">
        <f t="shared" si="11"/>
        <v>32</v>
      </c>
      <c r="K31" s="38">
        <f t="shared" si="13"/>
        <v>16</v>
      </c>
      <c r="L31" s="38">
        <v>0</v>
      </c>
      <c r="M31" s="39">
        <f t="shared" si="14"/>
        <v>16</v>
      </c>
      <c r="N31" s="40">
        <f t="shared" si="15"/>
        <v>192</v>
      </c>
      <c r="P31" s="318">
        <f t="shared" si="8"/>
        <v>192</v>
      </c>
      <c r="Q31" s="319">
        <f t="shared" si="9"/>
        <v>0</v>
      </c>
    </row>
    <row r="32" spans="1:18" ht="18" customHeight="1" x14ac:dyDescent="0.25">
      <c r="A32" s="33">
        <f>IF(G32&lt;&gt;"",1+MAX($A$2:A31),"")</f>
        <v>17</v>
      </c>
      <c r="B32" s="381"/>
      <c r="C32" s="359"/>
      <c r="D32" s="138" t="s">
        <v>157</v>
      </c>
      <c r="E32" s="35" t="s">
        <v>7</v>
      </c>
      <c r="F32" s="37">
        <v>4396.01</v>
      </c>
      <c r="G32" s="36">
        <v>0</v>
      </c>
      <c r="H32" s="29">
        <f t="shared" si="12"/>
        <v>4396.01</v>
      </c>
      <c r="I32" s="133">
        <v>5.0000000000000001E-3</v>
      </c>
      <c r="J32" s="240">
        <f t="shared" si="11"/>
        <v>32</v>
      </c>
      <c r="K32" s="38">
        <f t="shared" si="13"/>
        <v>0.16</v>
      </c>
      <c r="L32" s="38">
        <v>0</v>
      </c>
      <c r="M32" s="39">
        <f t="shared" si="14"/>
        <v>0.16</v>
      </c>
      <c r="N32" s="40">
        <f t="shared" si="15"/>
        <v>703.36160000000007</v>
      </c>
      <c r="P32" s="318">
        <f t="shared" si="8"/>
        <v>703.36160000000007</v>
      </c>
      <c r="Q32" s="319">
        <f t="shared" si="9"/>
        <v>0</v>
      </c>
    </row>
    <row r="33" spans="1:17" ht="15.75" x14ac:dyDescent="0.25">
      <c r="A33" s="33">
        <f>IF(G33&lt;&gt;"",1+MAX($A$2:A32),"")</f>
        <v>18</v>
      </c>
      <c r="B33" s="381"/>
      <c r="C33" s="359"/>
      <c r="D33" s="139" t="s">
        <v>183</v>
      </c>
      <c r="E33" s="35" t="s">
        <v>7</v>
      </c>
      <c r="F33" s="35">
        <v>44</v>
      </c>
      <c r="G33" s="36">
        <v>0</v>
      </c>
      <c r="H33" s="29">
        <f t="shared" si="12"/>
        <v>44</v>
      </c>
      <c r="I33" s="133">
        <v>3.2000000000000001E-2</v>
      </c>
      <c r="J33" s="240">
        <f t="shared" si="11"/>
        <v>32</v>
      </c>
      <c r="K33" s="38">
        <f t="shared" si="13"/>
        <v>1.024</v>
      </c>
      <c r="L33" s="38">
        <v>0</v>
      </c>
      <c r="M33" s="39">
        <f t="shared" si="14"/>
        <v>1.024</v>
      </c>
      <c r="N33" s="40">
        <f t="shared" si="15"/>
        <v>45.055999999999997</v>
      </c>
      <c r="P33" s="318">
        <f t="shared" si="8"/>
        <v>45.055999999999997</v>
      </c>
      <c r="Q33" s="319">
        <f t="shared" si="9"/>
        <v>0</v>
      </c>
    </row>
    <row r="34" spans="1:17" ht="18" customHeight="1" x14ac:dyDescent="0.25">
      <c r="A34" s="33">
        <f>IF(G34&lt;&gt;"",1+MAX($A$2:A33),"")</f>
        <v>19</v>
      </c>
      <c r="B34" s="381"/>
      <c r="C34" s="359"/>
      <c r="D34" s="138" t="s">
        <v>186</v>
      </c>
      <c r="E34" s="35" t="s">
        <v>7</v>
      </c>
      <c r="F34" s="37">
        <v>139.74</v>
      </c>
      <c r="G34" s="36">
        <v>0</v>
      </c>
      <c r="H34" s="29">
        <f t="shared" si="12"/>
        <v>139.74</v>
      </c>
      <c r="I34" s="133">
        <v>5.6000000000000001E-2</v>
      </c>
      <c r="J34" s="240">
        <f t="shared" si="11"/>
        <v>32</v>
      </c>
      <c r="K34" s="38">
        <f t="shared" si="13"/>
        <v>1.792</v>
      </c>
      <c r="L34" s="38">
        <v>0</v>
      </c>
      <c r="M34" s="39">
        <f t="shared" si="14"/>
        <v>1.792</v>
      </c>
      <c r="N34" s="40">
        <f t="shared" si="15"/>
        <v>250.41408000000001</v>
      </c>
      <c r="P34" s="318">
        <f t="shared" si="8"/>
        <v>250.41408000000001</v>
      </c>
      <c r="Q34" s="319">
        <f t="shared" si="9"/>
        <v>0</v>
      </c>
    </row>
    <row r="35" spans="1:17" ht="18" customHeight="1" x14ac:dyDescent="0.25">
      <c r="A35" s="33">
        <f>IF(G35&lt;&gt;"",1+MAX($A$2:A34),"")</f>
        <v>20</v>
      </c>
      <c r="B35" s="381"/>
      <c r="C35" s="359"/>
      <c r="D35" s="138" t="s">
        <v>166</v>
      </c>
      <c r="E35" s="35" t="s">
        <v>32</v>
      </c>
      <c r="F35" s="35">
        <v>4</v>
      </c>
      <c r="G35" s="36">
        <v>0</v>
      </c>
      <c r="H35" s="29">
        <f t="shared" si="12"/>
        <v>4</v>
      </c>
      <c r="I35" s="133">
        <v>0.42499999999999999</v>
      </c>
      <c r="J35" s="240">
        <f t="shared" si="11"/>
        <v>32</v>
      </c>
      <c r="K35" s="38">
        <f t="shared" si="13"/>
        <v>13.6</v>
      </c>
      <c r="L35" s="38">
        <v>0</v>
      </c>
      <c r="M35" s="39">
        <f t="shared" si="14"/>
        <v>13.6</v>
      </c>
      <c r="N35" s="40">
        <f t="shared" si="15"/>
        <v>54.4</v>
      </c>
      <c r="P35" s="318">
        <f t="shared" si="8"/>
        <v>54.4</v>
      </c>
      <c r="Q35" s="319">
        <f t="shared" si="9"/>
        <v>0</v>
      </c>
    </row>
    <row r="36" spans="1:17" ht="18" customHeight="1" x14ac:dyDescent="0.25">
      <c r="A36" s="33">
        <f>IF(G36&lt;&gt;"",1+MAX($A$2:A35),"")</f>
        <v>21</v>
      </c>
      <c r="B36" s="381"/>
      <c r="C36" s="359"/>
      <c r="D36" s="138" t="s">
        <v>184</v>
      </c>
      <c r="E36" s="35" t="s">
        <v>32</v>
      </c>
      <c r="F36" s="35">
        <v>2</v>
      </c>
      <c r="G36" s="36">
        <v>0</v>
      </c>
      <c r="H36" s="29">
        <f t="shared" si="12"/>
        <v>2</v>
      </c>
      <c r="I36" s="133">
        <v>1.5</v>
      </c>
      <c r="J36" s="240">
        <f t="shared" si="11"/>
        <v>32</v>
      </c>
      <c r="K36" s="38">
        <f t="shared" si="13"/>
        <v>48</v>
      </c>
      <c r="L36" s="38">
        <v>0</v>
      </c>
      <c r="M36" s="39">
        <f t="shared" si="14"/>
        <v>48</v>
      </c>
      <c r="N36" s="40">
        <f t="shared" si="15"/>
        <v>96</v>
      </c>
      <c r="P36" s="318">
        <f t="shared" si="8"/>
        <v>96</v>
      </c>
      <c r="Q36" s="319">
        <f t="shared" si="9"/>
        <v>0</v>
      </c>
    </row>
    <row r="37" spans="1:17" ht="18" customHeight="1" x14ac:dyDescent="0.25">
      <c r="A37" s="33">
        <f>IF(G37&lt;&gt;"",1+MAX($A$2:A36),"")</f>
        <v>22</v>
      </c>
      <c r="B37" s="381"/>
      <c r="C37" s="359"/>
      <c r="D37" s="138" t="s">
        <v>185</v>
      </c>
      <c r="E37" s="35" t="s">
        <v>7</v>
      </c>
      <c r="F37" s="37">
        <v>140.31</v>
      </c>
      <c r="G37" s="36">
        <v>0</v>
      </c>
      <c r="H37" s="29">
        <f t="shared" si="12"/>
        <v>140.31</v>
      </c>
      <c r="I37" s="133">
        <v>5.6000000000000001E-2</v>
      </c>
      <c r="J37" s="240">
        <f t="shared" si="11"/>
        <v>32</v>
      </c>
      <c r="K37" s="38">
        <f t="shared" si="13"/>
        <v>1.792</v>
      </c>
      <c r="L37" s="38">
        <v>0</v>
      </c>
      <c r="M37" s="39">
        <f t="shared" si="14"/>
        <v>1.792</v>
      </c>
      <c r="N37" s="40">
        <f t="shared" si="15"/>
        <v>251.43552</v>
      </c>
      <c r="P37" s="318">
        <f t="shared" si="8"/>
        <v>251.43552</v>
      </c>
      <c r="Q37" s="319">
        <f t="shared" si="9"/>
        <v>0</v>
      </c>
    </row>
    <row r="38" spans="1:17" ht="18" customHeight="1" x14ac:dyDescent="0.25">
      <c r="A38" s="33">
        <f>IF(G38&lt;&gt;"",1+MAX($A$2:A37),"")</f>
        <v>23</v>
      </c>
      <c r="B38" s="381"/>
      <c r="C38" s="359"/>
      <c r="D38" s="138" t="s">
        <v>159</v>
      </c>
      <c r="E38" s="35" t="s">
        <v>7</v>
      </c>
      <c r="F38" s="37">
        <f>102.2*7</f>
        <v>715.4</v>
      </c>
      <c r="G38" s="36">
        <v>0</v>
      </c>
      <c r="H38" s="29">
        <f t="shared" si="12"/>
        <v>715.4</v>
      </c>
      <c r="I38" s="133">
        <v>0.01</v>
      </c>
      <c r="J38" s="240">
        <f t="shared" si="11"/>
        <v>32</v>
      </c>
      <c r="K38" s="38">
        <f t="shared" si="13"/>
        <v>0.32</v>
      </c>
      <c r="L38" s="38">
        <v>0</v>
      </c>
      <c r="M38" s="39">
        <f t="shared" si="14"/>
        <v>0.32</v>
      </c>
      <c r="N38" s="40">
        <f t="shared" si="15"/>
        <v>228.928</v>
      </c>
      <c r="P38" s="318">
        <f t="shared" si="8"/>
        <v>228.928</v>
      </c>
      <c r="Q38" s="319">
        <f t="shared" si="9"/>
        <v>0</v>
      </c>
    </row>
    <row r="39" spans="1:17" ht="31.5" x14ac:dyDescent="0.25">
      <c r="A39" s="33">
        <f>IF(G39&lt;&gt;"",1+MAX($A$2:A38),"")</f>
        <v>24</v>
      </c>
      <c r="B39" s="381"/>
      <c r="C39" s="359"/>
      <c r="D39" s="139" t="s">
        <v>187</v>
      </c>
      <c r="E39" s="35" t="s">
        <v>32</v>
      </c>
      <c r="F39" s="37">
        <v>1</v>
      </c>
      <c r="G39" s="36">
        <v>0</v>
      </c>
      <c r="H39" s="29">
        <f t="shared" si="12"/>
        <v>1</v>
      </c>
      <c r="I39" s="133">
        <v>2.5</v>
      </c>
      <c r="J39" s="240">
        <f t="shared" si="11"/>
        <v>32</v>
      </c>
      <c r="K39" s="38">
        <f t="shared" si="13"/>
        <v>80</v>
      </c>
      <c r="L39" s="38">
        <v>0</v>
      </c>
      <c r="M39" s="39">
        <f t="shared" si="14"/>
        <v>80</v>
      </c>
      <c r="N39" s="40">
        <f t="shared" si="15"/>
        <v>80</v>
      </c>
      <c r="P39" s="318">
        <f t="shared" si="8"/>
        <v>80</v>
      </c>
      <c r="Q39" s="319">
        <f t="shared" si="9"/>
        <v>0</v>
      </c>
    </row>
    <row r="40" spans="1:17" ht="31.5" x14ac:dyDescent="0.25">
      <c r="A40" s="33">
        <f>IF(G40&lt;&gt;"",1+MAX($A$2:A39),"")</f>
        <v>25</v>
      </c>
      <c r="B40" s="381"/>
      <c r="C40" s="359"/>
      <c r="D40" s="139" t="s">
        <v>195</v>
      </c>
      <c r="E40" s="35" t="s">
        <v>32</v>
      </c>
      <c r="F40" s="37">
        <v>1</v>
      </c>
      <c r="G40" s="36">
        <v>0</v>
      </c>
      <c r="H40" s="29">
        <f t="shared" ref="H40" si="16">(G40*F40)+F40</f>
        <v>1</v>
      </c>
      <c r="I40" s="133">
        <v>0.6</v>
      </c>
      <c r="J40" s="240">
        <f t="shared" si="11"/>
        <v>32</v>
      </c>
      <c r="K40" s="38">
        <f t="shared" ref="K40" si="17">I40*J40</f>
        <v>19.2</v>
      </c>
      <c r="L40" s="38">
        <v>0</v>
      </c>
      <c r="M40" s="39">
        <f t="shared" ref="M40" si="18">K40+L40</f>
        <v>19.2</v>
      </c>
      <c r="N40" s="40">
        <f t="shared" ref="N40" si="19">H40*M40</f>
        <v>19.2</v>
      </c>
      <c r="P40" s="318">
        <f t="shared" si="8"/>
        <v>19.2</v>
      </c>
      <c r="Q40" s="319">
        <f t="shared" si="9"/>
        <v>0</v>
      </c>
    </row>
    <row r="41" spans="1:17" ht="47.25" x14ac:dyDescent="0.25">
      <c r="A41" s="33">
        <f>IF(G41&lt;&gt;"",1+MAX($A$2:A40),"")</f>
        <v>26</v>
      </c>
      <c r="B41" s="381"/>
      <c r="C41" s="359"/>
      <c r="D41" s="139" t="s">
        <v>449</v>
      </c>
      <c r="E41" s="35" t="s">
        <v>7</v>
      </c>
      <c r="F41" s="37">
        <v>190</v>
      </c>
      <c r="G41" s="36">
        <v>0</v>
      </c>
      <c r="H41" s="29">
        <f t="shared" si="12"/>
        <v>190</v>
      </c>
      <c r="I41" s="133">
        <v>2.8000000000000001E-2</v>
      </c>
      <c r="J41" s="240">
        <f t="shared" si="11"/>
        <v>32</v>
      </c>
      <c r="K41" s="38">
        <f t="shared" si="13"/>
        <v>0.89600000000000002</v>
      </c>
      <c r="L41" s="38">
        <v>0</v>
      </c>
      <c r="M41" s="39">
        <f t="shared" si="14"/>
        <v>0.89600000000000002</v>
      </c>
      <c r="N41" s="40">
        <f t="shared" si="15"/>
        <v>170.24</v>
      </c>
      <c r="P41" s="318">
        <f t="shared" si="8"/>
        <v>170.24</v>
      </c>
      <c r="Q41" s="319">
        <f t="shared" si="9"/>
        <v>0</v>
      </c>
    </row>
    <row r="42" spans="1:17" ht="18" customHeight="1" x14ac:dyDescent="0.25">
      <c r="A42" s="33">
        <f>IF(G42&lt;&gt;"",1+MAX($A$2:A41),"")</f>
        <v>27</v>
      </c>
      <c r="B42" s="382"/>
      <c r="C42" s="352"/>
      <c r="D42" s="138" t="s">
        <v>162</v>
      </c>
      <c r="E42" s="35" t="s">
        <v>7</v>
      </c>
      <c r="F42" s="37">
        <f>6.67*8.25</f>
        <v>55.027499999999996</v>
      </c>
      <c r="G42" s="36">
        <v>0</v>
      </c>
      <c r="H42" s="29">
        <f t="shared" ref="H42" si="20">(G42*F42)+F42</f>
        <v>55.027499999999996</v>
      </c>
      <c r="I42" s="133">
        <v>3.2000000000000001E-2</v>
      </c>
      <c r="J42" s="240">
        <f t="shared" si="11"/>
        <v>32</v>
      </c>
      <c r="K42" s="38">
        <f t="shared" ref="K42" si="21">I42*J42</f>
        <v>1.024</v>
      </c>
      <c r="L42" s="38">
        <v>0</v>
      </c>
      <c r="M42" s="39">
        <f t="shared" ref="M42" si="22">K42+L42</f>
        <v>1.024</v>
      </c>
      <c r="N42" s="40">
        <f t="shared" ref="N42" si="23">H42*M42</f>
        <v>56.34816</v>
      </c>
      <c r="P42" s="318">
        <f t="shared" si="8"/>
        <v>56.34816</v>
      </c>
      <c r="Q42" s="319">
        <f t="shared" si="9"/>
        <v>0</v>
      </c>
    </row>
    <row r="43" spans="1:17" ht="31.5" x14ac:dyDescent="0.25">
      <c r="A43" s="33">
        <f>IF(G43&lt;&gt;"",1+MAX($A$2:A42),"")</f>
        <v>28</v>
      </c>
      <c r="B43" s="380" t="s">
        <v>164</v>
      </c>
      <c r="C43" s="351" t="s">
        <v>163</v>
      </c>
      <c r="D43" s="139" t="s">
        <v>160</v>
      </c>
      <c r="E43" s="35" t="s">
        <v>7</v>
      </c>
      <c r="F43" s="35">
        <v>12747</v>
      </c>
      <c r="G43" s="36">
        <v>0</v>
      </c>
      <c r="H43" s="29">
        <f t="shared" ref="H43:H45" si="24">(G43*F43)+F43</f>
        <v>12747</v>
      </c>
      <c r="I43" s="133">
        <v>1.2999999999999999E-2</v>
      </c>
      <c r="J43" s="240">
        <f t="shared" si="11"/>
        <v>32</v>
      </c>
      <c r="K43" s="38">
        <f t="shared" ref="K43:K45" si="25">I43*J43</f>
        <v>0.41599999999999998</v>
      </c>
      <c r="L43" s="38">
        <v>0</v>
      </c>
      <c r="M43" s="39">
        <f t="shared" ref="M43:M45" si="26">K43+L43</f>
        <v>0.41599999999999998</v>
      </c>
      <c r="N43" s="40">
        <f t="shared" ref="N43:N45" si="27">H43*M43</f>
        <v>5302.7519999999995</v>
      </c>
      <c r="P43" s="318">
        <f t="shared" si="8"/>
        <v>5302.7519999999995</v>
      </c>
      <c r="Q43" s="319">
        <f t="shared" si="9"/>
        <v>0</v>
      </c>
    </row>
    <row r="44" spans="1:17" ht="31.5" x14ac:dyDescent="0.25">
      <c r="A44" s="33">
        <f>IF(G44&lt;&gt;"",1+MAX($A$2:A43),"")</f>
        <v>29</v>
      </c>
      <c r="B44" s="381"/>
      <c r="C44" s="359"/>
      <c r="D44" s="139" t="s">
        <v>161</v>
      </c>
      <c r="E44" s="35" t="s">
        <v>7</v>
      </c>
      <c r="F44" s="37">
        <v>452.91</v>
      </c>
      <c r="G44" s="36">
        <v>0</v>
      </c>
      <c r="H44" s="29">
        <f t="shared" si="24"/>
        <v>452.91</v>
      </c>
      <c r="I44" s="133">
        <v>8.0000000000000002E-3</v>
      </c>
      <c r="J44" s="240">
        <f t="shared" si="11"/>
        <v>32</v>
      </c>
      <c r="K44" s="38">
        <f t="shared" si="25"/>
        <v>0.25600000000000001</v>
      </c>
      <c r="L44" s="38">
        <v>0</v>
      </c>
      <c r="M44" s="39">
        <f t="shared" si="26"/>
        <v>0.25600000000000001</v>
      </c>
      <c r="N44" s="40">
        <f t="shared" si="27"/>
        <v>115.94496000000001</v>
      </c>
      <c r="P44" s="318">
        <f t="shared" si="8"/>
        <v>115.94496000000001</v>
      </c>
      <c r="Q44" s="319">
        <f t="shared" si="9"/>
        <v>0</v>
      </c>
    </row>
    <row r="45" spans="1:17" ht="18" customHeight="1" x14ac:dyDescent="0.25">
      <c r="A45" s="33">
        <f>IF(G45&lt;&gt;"",1+MAX($A$2:A44),"")</f>
        <v>30</v>
      </c>
      <c r="B45" s="382"/>
      <c r="C45" s="352"/>
      <c r="D45" s="138" t="s">
        <v>188</v>
      </c>
      <c r="E45" s="35" t="s">
        <v>32</v>
      </c>
      <c r="F45" s="35">
        <v>17</v>
      </c>
      <c r="G45" s="36">
        <v>0</v>
      </c>
      <c r="H45" s="29">
        <f t="shared" si="24"/>
        <v>17</v>
      </c>
      <c r="I45" s="133">
        <v>1</v>
      </c>
      <c r="J45" s="240">
        <f t="shared" si="11"/>
        <v>32</v>
      </c>
      <c r="K45" s="38">
        <f t="shared" si="25"/>
        <v>32</v>
      </c>
      <c r="L45" s="38">
        <v>0</v>
      </c>
      <c r="M45" s="39">
        <f t="shared" si="26"/>
        <v>32</v>
      </c>
      <c r="N45" s="40">
        <f t="shared" si="27"/>
        <v>544</v>
      </c>
      <c r="P45" s="318">
        <f t="shared" si="8"/>
        <v>544</v>
      </c>
      <c r="Q45" s="319">
        <f t="shared" si="9"/>
        <v>0</v>
      </c>
    </row>
    <row r="46" spans="1:17" ht="18" customHeight="1" x14ac:dyDescent="0.25">
      <c r="A46" s="33">
        <f>IF(G46&lt;&gt;"",1+MAX($A$2:A45),"")</f>
        <v>31</v>
      </c>
      <c r="B46" s="146" t="s">
        <v>129</v>
      </c>
      <c r="C46" s="351" t="s">
        <v>152</v>
      </c>
      <c r="D46" s="138" t="s">
        <v>189</v>
      </c>
      <c r="E46" s="35" t="s">
        <v>32</v>
      </c>
      <c r="F46" s="37">
        <v>1</v>
      </c>
      <c r="G46" s="36">
        <v>0</v>
      </c>
      <c r="H46" s="29">
        <f t="shared" ref="H46:H47" si="28">(G46*F46)+F46</f>
        <v>1</v>
      </c>
      <c r="I46" s="133">
        <v>1.25</v>
      </c>
      <c r="J46" s="240">
        <f t="shared" si="11"/>
        <v>32</v>
      </c>
      <c r="K46" s="38">
        <f t="shared" ref="K46:K47" si="29">I46*J46</f>
        <v>40</v>
      </c>
      <c r="L46" s="38">
        <v>0</v>
      </c>
      <c r="M46" s="39">
        <f t="shared" ref="M46:M47" si="30">K46+L46</f>
        <v>40</v>
      </c>
      <c r="N46" s="40">
        <f t="shared" ref="N46:N47" si="31">H46*M46</f>
        <v>40</v>
      </c>
      <c r="P46" s="318">
        <f t="shared" si="8"/>
        <v>40</v>
      </c>
      <c r="Q46" s="319">
        <f t="shared" si="9"/>
        <v>0</v>
      </c>
    </row>
    <row r="47" spans="1:17" ht="31.5" x14ac:dyDescent="0.25">
      <c r="A47" s="33">
        <f>IF(G47&lt;&gt;"",1+MAX($A$2:A46),"")</f>
        <v>32</v>
      </c>
      <c r="B47" s="146" t="s">
        <v>151</v>
      </c>
      <c r="C47" s="352"/>
      <c r="D47" s="139" t="s">
        <v>149</v>
      </c>
      <c r="E47" s="35" t="s">
        <v>7</v>
      </c>
      <c r="F47" s="37">
        <v>4762</v>
      </c>
      <c r="G47" s="36">
        <v>0</v>
      </c>
      <c r="H47" s="29">
        <f t="shared" si="28"/>
        <v>4762</v>
      </c>
      <c r="I47" s="133">
        <v>5.0000000000000001E-3</v>
      </c>
      <c r="J47" s="240">
        <f t="shared" si="11"/>
        <v>32</v>
      </c>
      <c r="K47" s="38">
        <f t="shared" si="29"/>
        <v>0.16</v>
      </c>
      <c r="L47" s="38">
        <v>0</v>
      </c>
      <c r="M47" s="39">
        <f t="shared" si="30"/>
        <v>0.16</v>
      </c>
      <c r="N47" s="40">
        <f t="shared" si="31"/>
        <v>761.92</v>
      </c>
      <c r="P47" s="318">
        <f t="shared" si="8"/>
        <v>761.92</v>
      </c>
      <c r="Q47" s="319">
        <f t="shared" si="9"/>
        <v>0</v>
      </c>
    </row>
    <row r="48" spans="1:17" ht="31.5" x14ac:dyDescent="0.2">
      <c r="A48" s="26">
        <f>IF(G48&lt;&gt;"",1+MAX($A$2:A47),"")</f>
        <v>33</v>
      </c>
      <c r="B48" s="348" t="s">
        <v>334</v>
      </c>
      <c r="C48" s="181" t="s">
        <v>335</v>
      </c>
      <c r="D48" s="27" t="s">
        <v>336</v>
      </c>
      <c r="E48" s="218" t="s">
        <v>34</v>
      </c>
      <c r="F48" s="29">
        <v>92.29</v>
      </c>
      <c r="G48" s="28">
        <v>0</v>
      </c>
      <c r="H48" s="29">
        <f>(G48*F48)+F48</f>
        <v>92.29</v>
      </c>
      <c r="I48" s="133">
        <v>0.04</v>
      </c>
      <c r="J48" s="240">
        <f t="shared" si="11"/>
        <v>32</v>
      </c>
      <c r="K48" s="30">
        <f t="shared" ref="K48:K53" si="32">I48*J48</f>
        <v>1.28</v>
      </c>
      <c r="L48" s="30">
        <v>0</v>
      </c>
      <c r="M48" s="31">
        <f t="shared" ref="M48:M53" si="33">K48+L48</f>
        <v>1.28</v>
      </c>
      <c r="N48" s="32">
        <f t="shared" ref="N48:N53" si="34">H48*M48</f>
        <v>118.13120000000001</v>
      </c>
      <c r="P48" s="318">
        <f t="shared" si="8"/>
        <v>118.13120000000001</v>
      </c>
      <c r="Q48" s="319">
        <f t="shared" si="9"/>
        <v>0</v>
      </c>
    </row>
    <row r="49" spans="1:18" ht="31.5" x14ac:dyDescent="0.2">
      <c r="A49" s="26">
        <f>IF(G49&lt;&gt;"",1+MAX($A$2:A48),"")</f>
        <v>34</v>
      </c>
      <c r="B49" s="349"/>
      <c r="C49" s="181" t="s">
        <v>337</v>
      </c>
      <c r="D49" s="27" t="s">
        <v>338</v>
      </c>
      <c r="E49" s="35" t="s">
        <v>32</v>
      </c>
      <c r="F49" s="37">
        <v>3</v>
      </c>
      <c r="G49" s="36">
        <v>0</v>
      </c>
      <c r="H49" s="29">
        <f t="shared" ref="H49:H53" si="35">(G49*F49)+F49</f>
        <v>3</v>
      </c>
      <c r="I49" s="133">
        <v>2.5</v>
      </c>
      <c r="J49" s="240">
        <f t="shared" si="11"/>
        <v>32</v>
      </c>
      <c r="K49" s="38">
        <f t="shared" si="32"/>
        <v>80</v>
      </c>
      <c r="L49" s="38">
        <v>0</v>
      </c>
      <c r="M49" s="39">
        <f t="shared" si="33"/>
        <v>80</v>
      </c>
      <c r="N49" s="40">
        <f t="shared" si="34"/>
        <v>240</v>
      </c>
      <c r="P49" s="318">
        <f t="shared" si="8"/>
        <v>240</v>
      </c>
      <c r="Q49" s="319">
        <f t="shared" si="9"/>
        <v>0</v>
      </c>
    </row>
    <row r="50" spans="1:18" ht="31.5" x14ac:dyDescent="0.2">
      <c r="A50" s="33">
        <f>IF(G50&lt;&gt;"",1+MAX($A$2:A49),"")</f>
        <v>35</v>
      </c>
      <c r="B50" s="349"/>
      <c r="C50" s="181" t="s">
        <v>339</v>
      </c>
      <c r="D50" s="27" t="s">
        <v>340</v>
      </c>
      <c r="E50" s="35" t="s">
        <v>7</v>
      </c>
      <c r="F50" s="37">
        <v>84.58</v>
      </c>
      <c r="G50" s="36">
        <v>0</v>
      </c>
      <c r="H50" s="29">
        <f t="shared" si="35"/>
        <v>84.58</v>
      </c>
      <c r="I50" s="133">
        <v>5.6000000000000001E-2</v>
      </c>
      <c r="J50" s="240">
        <f t="shared" si="11"/>
        <v>32</v>
      </c>
      <c r="K50" s="38">
        <f t="shared" si="32"/>
        <v>1.792</v>
      </c>
      <c r="L50" s="38">
        <v>0</v>
      </c>
      <c r="M50" s="39">
        <f t="shared" si="33"/>
        <v>1.792</v>
      </c>
      <c r="N50" s="40">
        <f t="shared" si="34"/>
        <v>151.56736000000001</v>
      </c>
      <c r="O50" s="9"/>
      <c r="P50" s="318">
        <f t="shared" si="8"/>
        <v>151.56736000000001</v>
      </c>
      <c r="Q50" s="319">
        <f t="shared" si="9"/>
        <v>0</v>
      </c>
    </row>
    <row r="51" spans="1:18" ht="31.5" x14ac:dyDescent="0.2">
      <c r="A51" s="33">
        <f>IF(G51&lt;&gt;"",1+MAX($A$2:A50),"")</f>
        <v>36</v>
      </c>
      <c r="B51" s="349"/>
      <c r="C51" s="181" t="s">
        <v>341</v>
      </c>
      <c r="D51" s="27" t="s">
        <v>342</v>
      </c>
      <c r="E51" s="35" t="s">
        <v>7</v>
      </c>
      <c r="F51" s="37">
        <v>269.39999999999998</v>
      </c>
      <c r="G51" s="36">
        <v>0</v>
      </c>
      <c r="H51" s="29">
        <f t="shared" si="35"/>
        <v>269.39999999999998</v>
      </c>
      <c r="I51" s="133">
        <v>4.2000000000000003E-2</v>
      </c>
      <c r="J51" s="240">
        <f t="shared" si="11"/>
        <v>32</v>
      </c>
      <c r="K51" s="38">
        <f t="shared" si="32"/>
        <v>1.3440000000000001</v>
      </c>
      <c r="L51" s="38">
        <v>0</v>
      </c>
      <c r="M51" s="39">
        <f t="shared" si="33"/>
        <v>1.3440000000000001</v>
      </c>
      <c r="N51" s="40">
        <f t="shared" si="34"/>
        <v>362.0736</v>
      </c>
      <c r="P51" s="318">
        <f t="shared" si="8"/>
        <v>362.0736</v>
      </c>
      <c r="Q51" s="319">
        <f t="shared" si="9"/>
        <v>0</v>
      </c>
    </row>
    <row r="52" spans="1:18" ht="31.5" x14ac:dyDescent="0.2">
      <c r="A52" s="33">
        <f>IF(G52&lt;&gt;"",1+MAX($A$2:A51),"")</f>
        <v>37</v>
      </c>
      <c r="B52" s="350"/>
      <c r="C52" s="181" t="s">
        <v>343</v>
      </c>
      <c r="D52" s="27" t="s">
        <v>344</v>
      </c>
      <c r="E52" s="35" t="s">
        <v>32</v>
      </c>
      <c r="F52" s="37">
        <v>2</v>
      </c>
      <c r="G52" s="36">
        <v>0</v>
      </c>
      <c r="H52" s="29">
        <f t="shared" si="35"/>
        <v>2</v>
      </c>
      <c r="I52" s="133">
        <v>0.1</v>
      </c>
      <c r="J52" s="240">
        <f t="shared" si="11"/>
        <v>32</v>
      </c>
      <c r="K52" s="38">
        <f t="shared" si="32"/>
        <v>3.2</v>
      </c>
      <c r="L52" s="38">
        <v>0</v>
      </c>
      <c r="M52" s="39">
        <f t="shared" si="33"/>
        <v>3.2</v>
      </c>
      <c r="N52" s="40">
        <f t="shared" si="34"/>
        <v>6.4</v>
      </c>
      <c r="P52" s="318">
        <f t="shared" si="8"/>
        <v>6.4</v>
      </c>
      <c r="Q52" s="319">
        <f t="shared" si="9"/>
        <v>0</v>
      </c>
    </row>
    <row r="53" spans="1:18" ht="15.75" x14ac:dyDescent="0.2">
      <c r="A53" s="33">
        <f>IF(G53&lt;&gt;"",1+MAX($A$2:A52),"")</f>
        <v>38</v>
      </c>
      <c r="B53" s="179" t="s">
        <v>345</v>
      </c>
      <c r="C53" s="181" t="s">
        <v>152</v>
      </c>
      <c r="D53" s="27" t="s">
        <v>346</v>
      </c>
      <c r="E53" s="35" t="s">
        <v>32</v>
      </c>
      <c r="F53" s="37">
        <v>3</v>
      </c>
      <c r="G53" s="36">
        <v>0</v>
      </c>
      <c r="H53" s="29">
        <f t="shared" si="35"/>
        <v>3</v>
      </c>
      <c r="I53" s="133">
        <v>1</v>
      </c>
      <c r="J53" s="240">
        <f t="shared" si="11"/>
        <v>32</v>
      </c>
      <c r="K53" s="38">
        <f t="shared" si="32"/>
        <v>32</v>
      </c>
      <c r="L53" s="38">
        <v>0</v>
      </c>
      <c r="M53" s="39">
        <f t="shared" si="33"/>
        <v>32</v>
      </c>
      <c r="N53" s="40">
        <f t="shared" si="34"/>
        <v>96</v>
      </c>
      <c r="P53" s="318">
        <f t="shared" si="8"/>
        <v>96</v>
      </c>
      <c r="Q53" s="319">
        <f t="shared" si="9"/>
        <v>0</v>
      </c>
    </row>
    <row r="54" spans="1:18" ht="18" customHeight="1" x14ac:dyDescent="0.2">
      <c r="A54" s="57" t="str">
        <f>IF(G54&lt;&gt;"",1+MAX($A$2:A53),"")</f>
        <v/>
      </c>
      <c r="B54" s="146"/>
      <c r="C54" s="147"/>
      <c r="D54" s="226" t="s">
        <v>198</v>
      </c>
      <c r="E54" s="58"/>
      <c r="F54" s="59"/>
      <c r="G54" s="36"/>
      <c r="H54" s="37"/>
      <c r="I54" s="66"/>
      <c r="J54" s="242"/>
      <c r="K54" s="60"/>
      <c r="L54" s="60"/>
      <c r="M54" s="39"/>
      <c r="N54" s="40"/>
      <c r="P54" s="318">
        <f t="shared" si="8"/>
        <v>0</v>
      </c>
      <c r="Q54" s="319">
        <f t="shared" si="9"/>
        <v>0</v>
      </c>
    </row>
    <row r="55" spans="1:18" ht="18" customHeight="1" x14ac:dyDescent="0.25">
      <c r="A55" s="33">
        <f>IF(G55&lt;&gt;"",1+MAX($A$2:A54),"")</f>
        <v>39</v>
      </c>
      <c r="B55" s="146" t="s">
        <v>199</v>
      </c>
      <c r="C55" s="143" t="s">
        <v>152</v>
      </c>
      <c r="D55" s="138" t="s">
        <v>419</v>
      </c>
      <c r="E55" s="35" t="s">
        <v>7</v>
      </c>
      <c r="F55" s="37">
        <v>133</v>
      </c>
      <c r="G55" s="36">
        <v>0</v>
      </c>
      <c r="H55" s="29">
        <f t="shared" ref="H55" si="36">(G55*F55)+F55</f>
        <v>133</v>
      </c>
      <c r="I55" s="133">
        <v>7.4999999999999997E-2</v>
      </c>
      <c r="J55" s="240">
        <f>J$23</f>
        <v>32</v>
      </c>
      <c r="K55" s="38">
        <f t="shared" ref="K55" si="37">I55*J55</f>
        <v>2.4</v>
      </c>
      <c r="L55" s="38">
        <v>1.02</v>
      </c>
      <c r="M55" s="39">
        <f t="shared" ref="M55" si="38">K55+L55</f>
        <v>3.42</v>
      </c>
      <c r="N55" s="40">
        <f t="shared" ref="N55" si="39">H55*M55</f>
        <v>454.86</v>
      </c>
      <c r="P55" s="318">
        <f t="shared" si="8"/>
        <v>319.2</v>
      </c>
      <c r="Q55" s="319">
        <f t="shared" si="9"/>
        <v>135.66</v>
      </c>
    </row>
    <row r="56" spans="1:18" ht="18" customHeight="1" x14ac:dyDescent="0.2">
      <c r="A56" s="57" t="str">
        <f>IF(G56&lt;&gt;"",1+MAX($A$2:A55),"")</f>
        <v/>
      </c>
      <c r="B56" s="179"/>
      <c r="C56" s="180"/>
      <c r="D56" s="226" t="s">
        <v>40</v>
      </c>
      <c r="E56" s="58"/>
      <c r="F56" s="94"/>
      <c r="G56" s="36"/>
      <c r="H56" s="37"/>
      <c r="I56" s="66"/>
      <c r="J56" s="242"/>
      <c r="K56" s="60"/>
      <c r="L56" s="60"/>
      <c r="M56" s="39"/>
      <c r="N56" s="40"/>
      <c r="P56" s="318">
        <f t="shared" si="8"/>
        <v>0</v>
      </c>
      <c r="Q56" s="319">
        <f t="shared" si="9"/>
        <v>0</v>
      </c>
    </row>
    <row r="57" spans="1:18" ht="47.25" x14ac:dyDescent="0.2">
      <c r="A57" s="33">
        <f>IF(G57&lt;&gt;"",1+MAX($A$2:A56),"")</f>
        <v>40</v>
      </c>
      <c r="B57" s="348" t="s">
        <v>334</v>
      </c>
      <c r="C57" s="345" t="s">
        <v>343</v>
      </c>
      <c r="D57" s="160" t="s">
        <v>347</v>
      </c>
      <c r="E57" s="35" t="s">
        <v>32</v>
      </c>
      <c r="F57" s="37">
        <v>2</v>
      </c>
      <c r="G57" s="36">
        <v>0</v>
      </c>
      <c r="H57" s="29">
        <f t="shared" ref="H57:H58" si="40">(G57*F57)+F57</f>
        <v>2</v>
      </c>
      <c r="I57" s="133">
        <v>0.62</v>
      </c>
      <c r="J57" s="240">
        <f t="shared" ref="J57:J58" si="41">J$23</f>
        <v>32</v>
      </c>
      <c r="K57" s="38">
        <f t="shared" ref="K57:K58" si="42">I57*J57</f>
        <v>19.84</v>
      </c>
      <c r="L57" s="38">
        <v>0</v>
      </c>
      <c r="M57" s="39">
        <f t="shared" ref="M57:M58" si="43">K57+L57</f>
        <v>19.84</v>
      </c>
      <c r="N57" s="40">
        <f t="shared" ref="N57:N58" si="44">H57*M57</f>
        <v>39.68</v>
      </c>
      <c r="P57" s="318">
        <f t="shared" si="8"/>
        <v>39.68</v>
      </c>
      <c r="Q57" s="319">
        <f t="shared" si="9"/>
        <v>0</v>
      </c>
    </row>
    <row r="58" spans="1:18" ht="78.75" x14ac:dyDescent="0.2">
      <c r="A58" s="33">
        <f>IF(G58&lt;&gt;"",1+MAX($A$2:A57),"")</f>
        <v>41</v>
      </c>
      <c r="B58" s="350"/>
      <c r="C58" s="347"/>
      <c r="D58" s="160" t="s">
        <v>348</v>
      </c>
      <c r="E58" s="35" t="s">
        <v>32</v>
      </c>
      <c r="F58" s="37">
        <v>2</v>
      </c>
      <c r="G58" s="36">
        <v>0</v>
      </c>
      <c r="H58" s="29">
        <f t="shared" si="40"/>
        <v>2</v>
      </c>
      <c r="I58" s="133">
        <v>0.78</v>
      </c>
      <c r="J58" s="240">
        <f t="shared" si="41"/>
        <v>32</v>
      </c>
      <c r="K58" s="38">
        <f t="shared" si="42"/>
        <v>24.96</v>
      </c>
      <c r="L58" s="38">
        <v>0</v>
      </c>
      <c r="M58" s="39">
        <f t="shared" si="43"/>
        <v>24.96</v>
      </c>
      <c r="N58" s="40">
        <f t="shared" si="44"/>
        <v>49.92</v>
      </c>
      <c r="P58" s="318">
        <f t="shared" si="8"/>
        <v>49.92</v>
      </c>
      <c r="Q58" s="319">
        <f t="shared" si="9"/>
        <v>0</v>
      </c>
    </row>
    <row r="59" spans="1:18" s="1" customFormat="1" ht="15" customHeight="1" x14ac:dyDescent="0.2">
      <c r="A59" s="42" t="str">
        <f>IF(G59&lt;&gt;"",1+MAX($A$2:A58),"")</f>
        <v/>
      </c>
      <c r="B59" s="152"/>
      <c r="C59" s="152"/>
      <c r="D59" s="43"/>
      <c r="E59" s="43"/>
      <c r="F59" s="43"/>
      <c r="G59" s="43"/>
      <c r="H59" s="43"/>
      <c r="I59" s="256"/>
      <c r="J59" s="241"/>
      <c r="K59" s="44"/>
      <c r="L59" s="44"/>
      <c r="M59" s="45" t="s">
        <v>22</v>
      </c>
      <c r="N59" s="46">
        <f>SUM(N23:N58)</f>
        <v>13824.627359999999</v>
      </c>
      <c r="O59" s="4"/>
      <c r="P59" s="318">
        <f t="shared" si="8"/>
        <v>0</v>
      </c>
      <c r="Q59" s="319">
        <f t="shared" si="9"/>
        <v>0</v>
      </c>
      <c r="R59" s="4"/>
    </row>
    <row r="60" spans="1:18" ht="15.75" x14ac:dyDescent="0.2">
      <c r="A60" s="47" t="str">
        <f>IF(G60&lt;&gt;"",1+MAX($A$2:A59),"")</f>
        <v/>
      </c>
      <c r="B60" s="280"/>
      <c r="C60" s="280"/>
      <c r="D60" s="281"/>
      <c r="E60" s="280"/>
      <c r="F60" s="280"/>
      <c r="G60" s="281"/>
      <c r="H60" s="281"/>
      <c r="I60" s="282"/>
      <c r="J60" s="283"/>
      <c r="K60" s="48"/>
      <c r="L60" s="48"/>
      <c r="M60" s="284"/>
      <c r="N60" s="49"/>
      <c r="P60" s="318">
        <f t="shared" si="8"/>
        <v>0</v>
      </c>
      <c r="Q60" s="319">
        <f t="shared" si="9"/>
        <v>0</v>
      </c>
    </row>
    <row r="61" spans="1:18" customFormat="1" ht="18" customHeight="1" x14ac:dyDescent="0.2">
      <c r="A61" s="50" t="str">
        <f>IF(G61&lt;&gt;"",1+MAX($A$2:A60),"")</f>
        <v/>
      </c>
      <c r="B61" s="151"/>
      <c r="C61" s="151"/>
      <c r="D61" s="166"/>
      <c r="E61" s="53" t="s">
        <v>41</v>
      </c>
      <c r="F61" s="54"/>
      <c r="G61" s="54"/>
      <c r="H61" s="54"/>
      <c r="I61" s="167"/>
      <c r="J61" s="239"/>
      <c r="K61" s="54"/>
      <c r="L61" s="54"/>
      <c r="M61" s="55"/>
      <c r="N61" s="56"/>
      <c r="P61" s="318">
        <f t="shared" si="8"/>
        <v>0</v>
      </c>
      <c r="Q61" s="319">
        <f t="shared" si="9"/>
        <v>0</v>
      </c>
    </row>
    <row r="62" spans="1:18" ht="18" customHeight="1" x14ac:dyDescent="0.25">
      <c r="A62" s="61" t="str">
        <f>IF(G62&lt;&gt;"",1+MAX($A$2:A61),"")</f>
        <v/>
      </c>
      <c r="B62" s="145"/>
      <c r="C62" s="150"/>
      <c r="D62" s="168" t="s">
        <v>42</v>
      </c>
      <c r="E62" s="58"/>
      <c r="F62" s="64"/>
      <c r="G62" s="65"/>
      <c r="H62" s="37"/>
      <c r="I62" s="66"/>
      <c r="J62" s="242"/>
      <c r="K62" s="60"/>
      <c r="L62" s="60"/>
      <c r="M62" s="39"/>
      <c r="N62" s="41"/>
      <c r="P62" s="318">
        <f t="shared" si="8"/>
        <v>0</v>
      </c>
      <c r="Q62" s="319">
        <f t="shared" si="9"/>
        <v>0</v>
      </c>
    </row>
    <row r="63" spans="1:18" ht="18" customHeight="1" x14ac:dyDescent="0.2">
      <c r="A63" s="67" t="str">
        <f>IF(G63&lt;&gt;"",1+MAX($A$2:A62),"")</f>
        <v/>
      </c>
      <c r="B63" s="351" t="s">
        <v>134</v>
      </c>
      <c r="C63" s="143"/>
      <c r="D63" s="136" t="s">
        <v>204</v>
      </c>
      <c r="E63" s="70"/>
      <c r="F63" s="37"/>
      <c r="G63" s="36"/>
      <c r="H63" s="37"/>
      <c r="I63" s="66"/>
      <c r="J63" s="242"/>
      <c r="K63" s="38"/>
      <c r="L63" s="38"/>
      <c r="M63" s="39"/>
      <c r="N63" s="41"/>
      <c r="P63" s="318">
        <f t="shared" si="8"/>
        <v>0</v>
      </c>
      <c r="Q63" s="319">
        <f t="shared" si="9"/>
        <v>0</v>
      </c>
    </row>
    <row r="64" spans="1:18" ht="15.75" x14ac:dyDescent="0.2">
      <c r="A64" s="67">
        <f>IF(G64&lt;&gt;"",1+MAX($A$2:A63),"")</f>
        <v>42</v>
      </c>
      <c r="B64" s="359"/>
      <c r="C64" s="353" t="s">
        <v>205</v>
      </c>
      <c r="D64" s="160" t="s">
        <v>206</v>
      </c>
      <c r="E64" s="35" t="s">
        <v>7</v>
      </c>
      <c r="F64" s="37">
        <f>0.833*18.4</f>
        <v>15.327199999999998</v>
      </c>
      <c r="G64" s="36">
        <v>0.05</v>
      </c>
      <c r="H64" s="37">
        <f t="shared" ref="H64" si="45">(G64*F64)+F64</f>
        <v>16.093559999999997</v>
      </c>
      <c r="I64" s="133">
        <v>4.8000000000000001E-2</v>
      </c>
      <c r="J64" s="240">
        <v>56</v>
      </c>
      <c r="K64" s="38">
        <f>J64*I64</f>
        <v>2.6880000000000002</v>
      </c>
      <c r="L64" s="38">
        <v>0</v>
      </c>
      <c r="M64" s="39">
        <f t="shared" ref="M64:M67" si="46">+L64+K64</f>
        <v>2.6880000000000002</v>
      </c>
      <c r="N64" s="41">
        <f t="shared" ref="N64:N67" si="47">H64*M64</f>
        <v>43.259489279999997</v>
      </c>
      <c r="P64" s="318">
        <f t="shared" si="8"/>
        <v>43.259489279999997</v>
      </c>
      <c r="Q64" s="319">
        <f t="shared" si="9"/>
        <v>0</v>
      </c>
    </row>
    <row r="65" spans="1:18" ht="15.75" x14ac:dyDescent="0.2">
      <c r="A65" s="67">
        <f>IF(G65&lt;&gt;"",1+MAX($A$2:A64),"")</f>
        <v>43</v>
      </c>
      <c r="B65" s="359"/>
      <c r="C65" s="354"/>
      <c r="D65" s="160" t="s">
        <v>207</v>
      </c>
      <c r="E65" s="35" t="s">
        <v>7</v>
      </c>
      <c r="F65" s="37">
        <f>0.833*18.5</f>
        <v>15.410499999999999</v>
      </c>
      <c r="G65" s="36">
        <v>0.05</v>
      </c>
      <c r="H65" s="37">
        <f>(G65*F65)+F65</f>
        <v>16.181024999999998</v>
      </c>
      <c r="I65" s="133">
        <v>5.1999999999999998E-2</v>
      </c>
      <c r="J65" s="240">
        <f>J$64</f>
        <v>56</v>
      </c>
      <c r="K65" s="38">
        <f t="shared" ref="K65:K71" si="48">J65*I65</f>
        <v>2.9119999999999999</v>
      </c>
      <c r="L65" s="38">
        <v>4.25</v>
      </c>
      <c r="M65" s="39">
        <f t="shared" si="46"/>
        <v>7.1619999999999999</v>
      </c>
      <c r="N65" s="41">
        <f t="shared" si="47"/>
        <v>115.88850104999999</v>
      </c>
      <c r="P65" s="318">
        <f t="shared" si="8"/>
        <v>47.119144799999994</v>
      </c>
      <c r="Q65" s="319">
        <f t="shared" si="9"/>
        <v>68.769356249999987</v>
      </c>
    </row>
    <row r="66" spans="1:18" ht="15.75" x14ac:dyDescent="0.2">
      <c r="A66" s="67">
        <f>IF(G66&lt;&gt;"",1+MAX($A$2:A65),"")</f>
        <v>44</v>
      </c>
      <c r="B66" s="359"/>
      <c r="C66" s="354"/>
      <c r="D66" s="160" t="s">
        <v>208</v>
      </c>
      <c r="E66" s="35" t="s">
        <v>43</v>
      </c>
      <c r="F66" s="37">
        <f>1.17*0.833*18.5/27</f>
        <v>0.66778833333333332</v>
      </c>
      <c r="G66" s="36">
        <v>0.05</v>
      </c>
      <c r="H66" s="37">
        <f>(G66*F66)+F66</f>
        <v>0.70117774999999993</v>
      </c>
      <c r="I66" s="133">
        <v>0.78500000000000003</v>
      </c>
      <c r="J66" s="240">
        <v>52</v>
      </c>
      <c r="K66" s="38">
        <f t="shared" si="48"/>
        <v>40.82</v>
      </c>
      <c r="L66" s="38">
        <v>18.5</v>
      </c>
      <c r="M66" s="39">
        <f t="shared" si="46"/>
        <v>59.32</v>
      </c>
      <c r="N66" s="41">
        <f t="shared" si="47"/>
        <v>41.593864129999993</v>
      </c>
      <c r="P66" s="318">
        <f t="shared" si="8"/>
        <v>28.622075754999997</v>
      </c>
      <c r="Q66" s="319">
        <f t="shared" si="9"/>
        <v>12.971788374999999</v>
      </c>
    </row>
    <row r="67" spans="1:18" ht="15.75" x14ac:dyDescent="0.2">
      <c r="A67" s="67">
        <f>IF(G67&lt;&gt;"",1+MAX($A$2:A66),"")</f>
        <v>45</v>
      </c>
      <c r="B67" s="359"/>
      <c r="C67" s="355"/>
      <c r="D67" s="160" t="s">
        <v>209</v>
      </c>
      <c r="E67" s="35" t="s">
        <v>32</v>
      </c>
      <c r="F67" s="37">
        <f>1.17*0.833*18.5/27</f>
        <v>0.66778833333333332</v>
      </c>
      <c r="G67" s="36">
        <v>0</v>
      </c>
      <c r="H67" s="37">
        <f>(G67*F67)+F67</f>
        <v>0.66778833333333332</v>
      </c>
      <c r="I67" s="133">
        <v>0.8</v>
      </c>
      <c r="J67" s="240">
        <v>52</v>
      </c>
      <c r="K67" s="38">
        <f t="shared" si="48"/>
        <v>41.6</v>
      </c>
      <c r="L67" s="38">
        <v>85.25</v>
      </c>
      <c r="M67" s="39">
        <f t="shared" si="46"/>
        <v>126.85</v>
      </c>
      <c r="N67" s="41">
        <f t="shared" si="47"/>
        <v>84.70895008333332</v>
      </c>
      <c r="P67" s="318">
        <f t="shared" si="8"/>
        <v>27.779994666666667</v>
      </c>
      <c r="Q67" s="319">
        <f t="shared" si="9"/>
        <v>56.928955416666668</v>
      </c>
    </row>
    <row r="68" spans="1:18" ht="18" customHeight="1" x14ac:dyDescent="0.2">
      <c r="A68" s="67" t="str">
        <f>IF(G68&lt;&gt;"",1+MAX($A$2:A67),"")</f>
        <v/>
      </c>
      <c r="B68" s="359"/>
      <c r="C68" s="143"/>
      <c r="D68" s="136" t="s">
        <v>210</v>
      </c>
      <c r="E68" s="71"/>
      <c r="F68" s="37"/>
      <c r="G68" s="36"/>
      <c r="H68" s="37"/>
      <c r="I68" s="169"/>
      <c r="J68" s="240"/>
      <c r="K68" s="38"/>
      <c r="L68" s="38"/>
      <c r="M68" s="39"/>
      <c r="N68" s="41"/>
      <c r="P68" s="318">
        <f t="shared" si="8"/>
        <v>0</v>
      </c>
      <c r="Q68" s="319">
        <f t="shared" si="9"/>
        <v>0</v>
      </c>
    </row>
    <row r="69" spans="1:18" ht="31.5" x14ac:dyDescent="0.2">
      <c r="A69" s="67">
        <f>IF(G69&lt;&gt;"",1+MAX($A$2:A68),"")</f>
        <v>46</v>
      </c>
      <c r="B69" s="359"/>
      <c r="C69" s="353" t="s">
        <v>211</v>
      </c>
      <c r="D69" s="160" t="s">
        <v>420</v>
      </c>
      <c r="E69" s="35" t="s">
        <v>7</v>
      </c>
      <c r="F69" s="37">
        <f>1377</f>
        <v>1377</v>
      </c>
      <c r="G69" s="36">
        <v>0.05</v>
      </c>
      <c r="H69" s="37">
        <f t="shared" ref="H69:H71" si="49">(G69*F69)+F69</f>
        <v>1445.85</v>
      </c>
      <c r="I69" s="133">
        <f>0.062</f>
        <v>6.2E-2</v>
      </c>
      <c r="J69" s="240">
        <f>J$64</f>
        <v>56</v>
      </c>
      <c r="K69" s="38">
        <f t="shared" ref="K69" si="50">J69*I69</f>
        <v>3.472</v>
      </c>
      <c r="L69" s="38">
        <v>4.8499999999999996</v>
      </c>
      <c r="M69" s="39">
        <f t="shared" ref="M69:M71" si="51">+L69+K69</f>
        <v>8.3219999999999992</v>
      </c>
      <c r="N69" s="41">
        <f t="shared" ref="N69:N71" si="52">H69*M69</f>
        <v>12032.363699999998</v>
      </c>
      <c r="P69" s="318">
        <f t="shared" si="8"/>
        <v>5019.9911999999995</v>
      </c>
      <c r="Q69" s="319">
        <f t="shared" si="9"/>
        <v>7012.3724999999995</v>
      </c>
    </row>
    <row r="70" spans="1:18" ht="15.75" x14ac:dyDescent="0.2">
      <c r="A70" s="67">
        <f>IF(G70&lt;&gt;"",1+MAX($A$2:A69),"")</f>
        <v>47</v>
      </c>
      <c r="B70" s="359"/>
      <c r="C70" s="354"/>
      <c r="D70" s="160" t="s">
        <v>212</v>
      </c>
      <c r="E70" s="35" t="s">
        <v>7</v>
      </c>
      <c r="F70" s="37">
        <f>1377</f>
        <v>1377</v>
      </c>
      <c r="G70" s="36">
        <v>0.05</v>
      </c>
      <c r="H70" s="37">
        <f t="shared" si="49"/>
        <v>1445.85</v>
      </c>
      <c r="I70" s="133">
        <v>1.4999999999999999E-2</v>
      </c>
      <c r="J70" s="240">
        <v>50</v>
      </c>
      <c r="K70" s="38">
        <f t="shared" si="48"/>
        <v>0.75</v>
      </c>
      <c r="L70" s="38">
        <v>0.28000000000000003</v>
      </c>
      <c r="M70" s="39">
        <f t="shared" si="51"/>
        <v>1.03</v>
      </c>
      <c r="N70" s="41">
        <f t="shared" si="52"/>
        <v>1489.2255</v>
      </c>
      <c r="P70" s="318">
        <f t="shared" si="8"/>
        <v>1084.3874999999998</v>
      </c>
      <c r="Q70" s="319">
        <f t="shared" si="9"/>
        <v>404.83800000000002</v>
      </c>
    </row>
    <row r="71" spans="1:18" ht="15.75" x14ac:dyDescent="0.2">
      <c r="A71" s="67">
        <f>IF(G71&lt;&gt;"",1+MAX($A$2:A70),"")</f>
        <v>48</v>
      </c>
      <c r="B71" s="359"/>
      <c r="C71" s="355"/>
      <c r="D71" s="160" t="s">
        <v>213</v>
      </c>
      <c r="E71" s="35" t="s">
        <v>43</v>
      </c>
      <c r="F71" s="37">
        <f>1377*1/27</f>
        <v>51</v>
      </c>
      <c r="G71" s="36">
        <v>0.05</v>
      </c>
      <c r="H71" s="37">
        <f t="shared" si="49"/>
        <v>53.55</v>
      </c>
      <c r="I71" s="133">
        <v>0.32500000000000001</v>
      </c>
      <c r="J71" s="240">
        <v>52</v>
      </c>
      <c r="K71" s="38">
        <f t="shared" si="48"/>
        <v>16.900000000000002</v>
      </c>
      <c r="L71" s="38">
        <v>0</v>
      </c>
      <c r="M71" s="39">
        <f t="shared" si="51"/>
        <v>16.900000000000002</v>
      </c>
      <c r="N71" s="41">
        <f t="shared" si="52"/>
        <v>904.99500000000012</v>
      </c>
      <c r="P71" s="318">
        <f t="shared" si="8"/>
        <v>904.99500000000012</v>
      </c>
      <c r="Q71" s="319">
        <f t="shared" si="9"/>
        <v>0</v>
      </c>
    </row>
    <row r="72" spans="1:18" ht="18" customHeight="1" x14ac:dyDescent="0.2">
      <c r="A72" s="67" t="str">
        <f>IF(G72&lt;&gt;"",1+MAX($A$2:A71),"")</f>
        <v/>
      </c>
      <c r="B72" s="359"/>
      <c r="C72" s="143"/>
      <c r="D72" s="136" t="s">
        <v>214</v>
      </c>
      <c r="E72" s="71"/>
      <c r="F72" s="37"/>
      <c r="G72" s="36"/>
      <c r="H72" s="37"/>
      <c r="I72" s="169"/>
      <c r="J72" s="243"/>
      <c r="K72" s="38"/>
      <c r="L72" s="38"/>
      <c r="M72" s="39"/>
      <c r="N72" s="41"/>
      <c r="P72" s="318">
        <f t="shared" si="8"/>
        <v>0</v>
      </c>
      <c r="Q72" s="319">
        <f t="shared" si="9"/>
        <v>0</v>
      </c>
    </row>
    <row r="73" spans="1:18" ht="15.75" x14ac:dyDescent="0.2">
      <c r="A73" s="67">
        <f>IF(G73&lt;&gt;"",1+MAX($A$2:A72),"")</f>
        <v>49</v>
      </c>
      <c r="B73" s="352"/>
      <c r="C73" s="86" t="s">
        <v>133</v>
      </c>
      <c r="D73" s="160" t="s">
        <v>215</v>
      </c>
      <c r="E73" s="35" t="s">
        <v>7</v>
      </c>
      <c r="F73" s="37">
        <f>2577</f>
        <v>2577</v>
      </c>
      <c r="G73" s="36">
        <v>0.05</v>
      </c>
      <c r="H73" s="37">
        <f t="shared" ref="H73" si="53">(G73*F73)+F73</f>
        <v>2705.85</v>
      </c>
      <c r="I73" s="133">
        <v>0.02</v>
      </c>
      <c r="J73" s="240">
        <f>J$64</f>
        <v>56</v>
      </c>
      <c r="K73" s="38">
        <f t="shared" ref="K73" si="54">J73*I73</f>
        <v>1.1200000000000001</v>
      </c>
      <c r="L73" s="38">
        <v>1.02</v>
      </c>
      <c r="M73" s="39">
        <f t="shared" ref="M73" si="55">+L73+K73</f>
        <v>2.14</v>
      </c>
      <c r="N73" s="41">
        <f t="shared" ref="N73" si="56">H73*M73</f>
        <v>5790.5190000000002</v>
      </c>
      <c r="P73" s="318">
        <f t="shared" si="8"/>
        <v>3030.5520000000001</v>
      </c>
      <c r="Q73" s="319">
        <f t="shared" si="9"/>
        <v>2759.9670000000001</v>
      </c>
    </row>
    <row r="74" spans="1:18" s="1" customFormat="1" ht="15" customHeight="1" x14ac:dyDescent="0.2">
      <c r="A74" s="42" t="str">
        <f>IF(G74&lt;&gt;"",1+MAX($A$2:A73),"")</f>
        <v/>
      </c>
      <c r="B74" s="152"/>
      <c r="C74" s="152"/>
      <c r="D74" s="43"/>
      <c r="E74" s="43"/>
      <c r="F74" s="43"/>
      <c r="G74" s="43"/>
      <c r="H74" s="43"/>
      <c r="I74" s="256"/>
      <c r="J74" s="241"/>
      <c r="K74" s="44"/>
      <c r="L74" s="44"/>
      <c r="M74" s="45" t="s">
        <v>22</v>
      </c>
      <c r="N74" s="46">
        <f>SUM(N62:N73)</f>
        <v>20502.554004543334</v>
      </c>
      <c r="O74" s="4"/>
      <c r="P74" s="318">
        <f t="shared" si="8"/>
        <v>0</v>
      </c>
      <c r="Q74" s="319">
        <f t="shared" si="9"/>
        <v>0</v>
      </c>
      <c r="R74" s="4"/>
    </row>
    <row r="75" spans="1:18" ht="15.75" x14ac:dyDescent="0.2">
      <c r="A75" s="72" t="str">
        <f>IF(G75&lt;&gt;"",1+MAX($A$2:A74),"")</f>
        <v/>
      </c>
      <c r="B75" s="153"/>
      <c r="C75" s="153"/>
      <c r="D75" s="73"/>
      <c r="E75" s="74"/>
      <c r="F75" s="285"/>
      <c r="G75" s="75"/>
      <c r="H75" s="285"/>
      <c r="I75" s="286"/>
      <c r="J75" s="287"/>
      <c r="K75" s="76"/>
      <c r="L75" s="76"/>
      <c r="M75" s="288"/>
      <c r="N75" s="77"/>
      <c r="P75" s="318">
        <f t="shared" si="8"/>
        <v>0</v>
      </c>
      <c r="Q75" s="319">
        <f t="shared" si="9"/>
        <v>0</v>
      </c>
    </row>
    <row r="76" spans="1:18" customFormat="1" ht="18" customHeight="1" x14ac:dyDescent="0.2">
      <c r="A76" s="50" t="str">
        <f>IF(G76&lt;&gt;"",1+MAX($A$2:A75),"")</f>
        <v/>
      </c>
      <c r="B76" s="151"/>
      <c r="C76" s="151"/>
      <c r="D76" s="166"/>
      <c r="E76" s="53" t="s">
        <v>47</v>
      </c>
      <c r="F76" s="54"/>
      <c r="G76" s="54"/>
      <c r="H76" s="54"/>
      <c r="I76" s="167"/>
      <c r="J76" s="239"/>
      <c r="K76" s="54"/>
      <c r="L76" s="54"/>
      <c r="M76" s="55"/>
      <c r="N76" s="56"/>
      <c r="P76" s="318">
        <f t="shared" si="8"/>
        <v>0</v>
      </c>
      <c r="Q76" s="319">
        <f t="shared" si="9"/>
        <v>0</v>
      </c>
    </row>
    <row r="77" spans="1:18" ht="18" customHeight="1" x14ac:dyDescent="0.25">
      <c r="A77" s="78" t="str">
        <f>IF(G77&lt;&gt;"",1+MAX($A$2:A76),"")</f>
        <v/>
      </c>
      <c r="B77" s="228"/>
      <c r="C77" s="159"/>
      <c r="D77" s="360" t="s">
        <v>216</v>
      </c>
      <c r="E77" s="361"/>
      <c r="F77" s="79"/>
      <c r="G77" s="80"/>
      <c r="H77" s="29"/>
      <c r="I77" s="81"/>
      <c r="J77" s="244"/>
      <c r="K77" s="82"/>
      <c r="L77" s="82"/>
      <c r="M77" s="31"/>
      <c r="N77" s="83"/>
      <c r="P77" s="318">
        <f t="shared" si="8"/>
        <v>0</v>
      </c>
      <c r="Q77" s="319">
        <f t="shared" si="9"/>
        <v>0</v>
      </c>
    </row>
    <row r="78" spans="1:18" ht="15.75" x14ac:dyDescent="0.2">
      <c r="A78" s="67">
        <f>IF(G78&lt;&gt;"",1+MAX($A$2:A77),"")</f>
        <v>50</v>
      </c>
      <c r="B78" s="365" t="s">
        <v>199</v>
      </c>
      <c r="C78" s="351" t="s">
        <v>217</v>
      </c>
      <c r="D78" s="160" t="s">
        <v>218</v>
      </c>
      <c r="E78" s="218" t="s">
        <v>7</v>
      </c>
      <c r="F78" s="289">
        <f>68.3</f>
        <v>68.3</v>
      </c>
      <c r="G78" s="36">
        <v>0.05</v>
      </c>
      <c r="H78" s="37">
        <f>(G78*F78)+F78</f>
        <v>71.715000000000003</v>
      </c>
      <c r="I78" s="133">
        <v>0.12</v>
      </c>
      <c r="J78" s="240">
        <v>45</v>
      </c>
      <c r="K78" s="38">
        <f>I78*J78</f>
        <v>5.3999999999999995</v>
      </c>
      <c r="L78" s="38">
        <v>4.25</v>
      </c>
      <c r="M78" s="39">
        <f>+L78+K78</f>
        <v>9.6499999999999986</v>
      </c>
      <c r="N78" s="41">
        <f>H78*M78</f>
        <v>692.0497499999999</v>
      </c>
      <c r="P78" s="318">
        <f t="shared" si="8"/>
        <v>387.26099999999997</v>
      </c>
      <c r="Q78" s="319">
        <f t="shared" si="9"/>
        <v>304.78874999999999</v>
      </c>
    </row>
    <row r="79" spans="1:18" ht="18" customHeight="1" x14ac:dyDescent="0.2">
      <c r="A79" s="67">
        <f>IF(G79&lt;&gt;"",1+MAX($A$2:A78),"")</f>
        <v>51</v>
      </c>
      <c r="B79" s="365"/>
      <c r="C79" s="359"/>
      <c r="D79" s="160" t="s">
        <v>219</v>
      </c>
      <c r="E79" s="35" t="s">
        <v>7</v>
      </c>
      <c r="F79" s="37">
        <v>68.3</v>
      </c>
      <c r="G79" s="36">
        <v>0.05</v>
      </c>
      <c r="H79" s="37">
        <f>(G79*F79)+F79</f>
        <v>71.715000000000003</v>
      </c>
      <c r="I79" s="133">
        <v>0.1</v>
      </c>
      <c r="J79" s="240">
        <f>J$78</f>
        <v>45</v>
      </c>
      <c r="K79" s="38">
        <f>I79*J79</f>
        <v>4.5</v>
      </c>
      <c r="L79" s="38">
        <v>3.28</v>
      </c>
      <c r="M79" s="39">
        <f>+L79+K79</f>
        <v>7.7799999999999994</v>
      </c>
      <c r="N79" s="41">
        <f>H79*M79</f>
        <v>557.94269999999995</v>
      </c>
      <c r="P79" s="318">
        <f t="shared" si="8"/>
        <v>322.71750000000003</v>
      </c>
      <c r="Q79" s="319">
        <f t="shared" si="9"/>
        <v>235.2252</v>
      </c>
    </row>
    <row r="80" spans="1:18" ht="18" customHeight="1" x14ac:dyDescent="0.2">
      <c r="A80" s="67">
        <f>IF(G80&lt;&gt;"",1+MAX($A$2:A79),"")</f>
        <v>52</v>
      </c>
      <c r="B80" s="223"/>
      <c r="C80" s="352"/>
      <c r="D80" s="160" t="s">
        <v>220</v>
      </c>
      <c r="E80" s="35" t="s">
        <v>7</v>
      </c>
      <c r="F80" s="37">
        <f>13.833*0.9</f>
        <v>12.4497</v>
      </c>
      <c r="G80" s="36">
        <v>0.05</v>
      </c>
      <c r="H80" s="37">
        <f>(G80*F80)+F80</f>
        <v>13.072184999999999</v>
      </c>
      <c r="I80" s="133">
        <v>0.21</v>
      </c>
      <c r="J80" s="240">
        <f>J$78</f>
        <v>45</v>
      </c>
      <c r="K80" s="38">
        <f>I80*J80</f>
        <v>9.4499999999999993</v>
      </c>
      <c r="L80" s="38">
        <v>7.24</v>
      </c>
      <c r="M80" s="39">
        <f>+L80+K80</f>
        <v>16.689999999999998</v>
      </c>
      <c r="N80" s="41">
        <f>H80*M80</f>
        <v>218.17476764999995</v>
      </c>
      <c r="P80" s="318">
        <f t="shared" si="8"/>
        <v>123.53214824999998</v>
      </c>
      <c r="Q80" s="319">
        <f t="shared" si="9"/>
        <v>94.642619400000001</v>
      </c>
    </row>
    <row r="81" spans="1:18" s="1" customFormat="1" ht="15" customHeight="1" x14ac:dyDescent="0.2">
      <c r="A81" s="42" t="str">
        <f>IF(G81&lt;&gt;"",1+MAX($A$2:A80),"")</f>
        <v/>
      </c>
      <c r="B81" s="152"/>
      <c r="C81" s="152"/>
      <c r="D81" s="43"/>
      <c r="E81" s="43"/>
      <c r="F81" s="43"/>
      <c r="G81" s="43"/>
      <c r="H81" s="43"/>
      <c r="I81" s="256"/>
      <c r="J81" s="241"/>
      <c r="K81" s="44"/>
      <c r="L81" s="44"/>
      <c r="M81" s="45" t="s">
        <v>22</v>
      </c>
      <c r="N81" s="46">
        <f>SUM(N77:N80)</f>
        <v>1468.1672176499997</v>
      </c>
      <c r="O81" s="4"/>
      <c r="P81" s="318">
        <f t="shared" si="8"/>
        <v>0</v>
      </c>
      <c r="Q81" s="319">
        <f t="shared" si="9"/>
        <v>0</v>
      </c>
      <c r="R81" s="4"/>
    </row>
    <row r="82" spans="1:18" ht="18" customHeight="1" x14ac:dyDescent="0.2">
      <c r="A82" s="72" t="str">
        <f>IF(G82&lt;&gt;"",1+MAX($A$2:A81),"")</f>
        <v/>
      </c>
      <c r="B82" s="153"/>
      <c r="C82" s="153"/>
      <c r="D82" s="73"/>
      <c r="E82" s="74"/>
      <c r="F82" s="285"/>
      <c r="G82" s="75"/>
      <c r="H82" s="285"/>
      <c r="I82" s="286"/>
      <c r="J82" s="287"/>
      <c r="K82" s="76"/>
      <c r="L82" s="76"/>
      <c r="M82" s="288"/>
      <c r="N82" s="77"/>
      <c r="P82" s="318">
        <f t="shared" si="8"/>
        <v>0</v>
      </c>
      <c r="Q82" s="319">
        <f t="shared" si="9"/>
        <v>0</v>
      </c>
    </row>
    <row r="83" spans="1:18" ht="18" customHeight="1" x14ac:dyDescent="0.2">
      <c r="A83" s="50" t="str">
        <f>IF(G83&lt;&gt;"",1+MAX($A$2:A82),"")</f>
        <v/>
      </c>
      <c r="B83" s="151"/>
      <c r="C83" s="151"/>
      <c r="D83" s="52"/>
      <c r="E83" s="53" t="s">
        <v>48</v>
      </c>
      <c r="F83" s="54"/>
      <c r="G83" s="54"/>
      <c r="H83" s="54"/>
      <c r="I83" s="167"/>
      <c r="J83" s="239"/>
      <c r="K83" s="54"/>
      <c r="L83" s="54"/>
      <c r="M83" s="55"/>
      <c r="N83" s="56"/>
      <c r="O83" s="9"/>
      <c r="P83" s="318">
        <f t="shared" si="8"/>
        <v>0</v>
      </c>
      <c r="Q83" s="319">
        <f t="shared" si="9"/>
        <v>0</v>
      </c>
      <c r="R83" s="9"/>
    </row>
    <row r="84" spans="1:18" ht="18" customHeight="1" x14ac:dyDescent="0.25">
      <c r="A84" s="84" t="str">
        <f>IF(G84&lt;&gt;"",1+MAX($A$2:A83),"")</f>
        <v/>
      </c>
      <c r="B84" s="145"/>
      <c r="C84" s="150"/>
      <c r="D84" s="226" t="s">
        <v>49</v>
      </c>
      <c r="E84" s="135"/>
      <c r="F84" s="64"/>
      <c r="G84" s="65"/>
      <c r="H84" s="37"/>
      <c r="I84" s="66"/>
      <c r="J84" s="242"/>
      <c r="K84" s="60"/>
      <c r="L84" s="60"/>
      <c r="M84" s="39"/>
      <c r="N84" s="41"/>
      <c r="O84" s="9"/>
      <c r="P84" s="318">
        <f t="shared" si="8"/>
        <v>0</v>
      </c>
      <c r="Q84" s="319">
        <f t="shared" si="9"/>
        <v>0</v>
      </c>
      <c r="R84" s="9"/>
    </row>
    <row r="85" spans="1:18" ht="18" customHeight="1" x14ac:dyDescent="0.2">
      <c r="A85" s="67" t="str">
        <f>IF(G85&lt;&gt;"",1+MAX($A$2:A84),"")</f>
        <v/>
      </c>
      <c r="B85" s="229"/>
      <c r="C85" s="143"/>
      <c r="D85" s="136" t="s">
        <v>132</v>
      </c>
      <c r="E85" s="85"/>
      <c r="F85" s="29"/>
      <c r="G85" s="28"/>
      <c r="H85" s="29"/>
      <c r="I85" s="81"/>
      <c r="J85" s="243"/>
      <c r="K85" s="30"/>
      <c r="L85" s="30"/>
      <c r="M85" s="31"/>
      <c r="N85" s="83"/>
      <c r="O85" s="9"/>
      <c r="P85" s="318">
        <f t="shared" si="8"/>
        <v>0</v>
      </c>
      <c r="Q85" s="319">
        <f t="shared" si="9"/>
        <v>0</v>
      </c>
      <c r="R85" s="9"/>
    </row>
    <row r="86" spans="1:18" ht="31.5" x14ac:dyDescent="0.2">
      <c r="A86" s="67">
        <f>IF(G86&lt;&gt;"",1+MAX($A$2:A85),"")</f>
        <v>53</v>
      </c>
      <c r="B86" s="229" t="s">
        <v>134</v>
      </c>
      <c r="C86" s="86" t="s">
        <v>133</v>
      </c>
      <c r="D86" s="160" t="s">
        <v>610</v>
      </c>
      <c r="E86" s="35" t="s">
        <v>44</v>
      </c>
      <c r="F86" s="37">
        <f>70*15+595</f>
        <v>1645</v>
      </c>
      <c r="G86" s="36">
        <v>0.05</v>
      </c>
      <c r="H86" s="37">
        <f>(G86*F86)+F86</f>
        <v>1727.25</v>
      </c>
      <c r="I86" s="133">
        <v>1.2999999999999999E-2</v>
      </c>
      <c r="J86" s="240">
        <v>58</v>
      </c>
      <c r="K86" s="38">
        <f>I86*J86</f>
        <v>0.754</v>
      </c>
      <c r="L86" s="38">
        <v>2.4500000000000002</v>
      </c>
      <c r="M86" s="39">
        <f>+L86+K86</f>
        <v>3.2040000000000002</v>
      </c>
      <c r="N86" s="41">
        <f>H86*M86</f>
        <v>5534.1090000000004</v>
      </c>
      <c r="O86" s="9"/>
      <c r="P86" s="318">
        <f t="shared" si="8"/>
        <v>1302.3465000000001</v>
      </c>
      <c r="Q86" s="319">
        <f t="shared" si="9"/>
        <v>4231.7625000000007</v>
      </c>
      <c r="R86" s="9"/>
    </row>
    <row r="87" spans="1:18" ht="18" customHeight="1" x14ac:dyDescent="0.25">
      <c r="A87" s="84" t="str">
        <f>IF(G87&lt;&gt;"",1+MAX($A$2:A86),"")</f>
        <v/>
      </c>
      <c r="B87" s="62"/>
      <c r="C87" s="63"/>
      <c r="D87" s="226" t="s">
        <v>260</v>
      </c>
      <c r="E87" s="135"/>
      <c r="F87" s="64"/>
      <c r="G87" s="65"/>
      <c r="H87" s="37"/>
      <c r="I87" s="66"/>
      <c r="J87" s="242"/>
      <c r="K87" s="60"/>
      <c r="L87" s="60"/>
      <c r="M87" s="39"/>
      <c r="N87" s="41"/>
      <c r="O87" s="9"/>
      <c r="P87" s="318">
        <f t="shared" si="8"/>
        <v>0</v>
      </c>
      <c r="Q87" s="319">
        <f t="shared" si="9"/>
        <v>0</v>
      </c>
      <c r="R87" s="9"/>
    </row>
    <row r="88" spans="1:18" ht="18" customHeight="1" x14ac:dyDescent="0.2">
      <c r="A88" s="67" t="str">
        <f>IF(G88&lt;&gt;"",1+MAX($A$2:A87),"")</f>
        <v/>
      </c>
      <c r="B88" s="68"/>
      <c r="C88" s="34"/>
      <c r="D88" s="136" t="s">
        <v>444</v>
      </c>
      <c r="E88" s="85"/>
      <c r="F88" s="29"/>
      <c r="G88" s="28"/>
      <c r="H88" s="29"/>
      <c r="I88" s="81"/>
      <c r="J88" s="243"/>
      <c r="K88" s="30"/>
      <c r="L88" s="30"/>
      <c r="M88" s="31"/>
      <c r="N88" s="83"/>
      <c r="O88" s="9"/>
      <c r="P88" s="318">
        <f t="shared" ref="P88:P151" si="57">K88*H88</f>
        <v>0</v>
      </c>
      <c r="Q88" s="319">
        <f t="shared" ref="Q88:Q151" si="58">L88*H88</f>
        <v>0</v>
      </c>
      <c r="R88" s="9"/>
    </row>
    <row r="89" spans="1:18" ht="15.75" x14ac:dyDescent="0.2">
      <c r="A89" s="67">
        <f>IF(G89&lt;&gt;"",1+MAX($A$2:A88),"")</f>
        <v>54</v>
      </c>
      <c r="B89" s="229" t="s">
        <v>261</v>
      </c>
      <c r="C89" s="86" t="s">
        <v>262</v>
      </c>
      <c r="D89" s="27" t="s">
        <v>263</v>
      </c>
      <c r="E89" s="35" t="s">
        <v>32</v>
      </c>
      <c r="F89" s="37">
        <v>1</v>
      </c>
      <c r="G89" s="36">
        <v>0</v>
      </c>
      <c r="H89" s="37">
        <f>(G89*F89)+F89</f>
        <v>1</v>
      </c>
      <c r="I89" s="133">
        <v>2.25</v>
      </c>
      <c r="J89" s="240">
        <f>J$86</f>
        <v>58</v>
      </c>
      <c r="K89" s="38">
        <f>I89*J89</f>
        <v>130.5</v>
      </c>
      <c r="L89" s="38">
        <f>725.85</f>
        <v>725.85</v>
      </c>
      <c r="M89" s="39">
        <f>+L89+K89</f>
        <v>856.35</v>
      </c>
      <c r="N89" s="41">
        <f>H89*M89</f>
        <v>856.35</v>
      </c>
      <c r="O89" s="9"/>
      <c r="P89" s="318">
        <f t="shared" si="57"/>
        <v>130.5</v>
      </c>
      <c r="Q89" s="319">
        <f t="shared" si="58"/>
        <v>725.85</v>
      </c>
      <c r="R89" s="9"/>
    </row>
    <row r="90" spans="1:18" s="1" customFormat="1" ht="15" customHeight="1" x14ac:dyDescent="0.2">
      <c r="A90" s="42" t="str">
        <f>IF(G90&lt;&gt;"",1+MAX($A$2:A89),"")</f>
        <v/>
      </c>
      <c r="B90" s="152"/>
      <c r="C90" s="152"/>
      <c r="D90" s="43"/>
      <c r="E90" s="43"/>
      <c r="F90" s="43"/>
      <c r="G90" s="43"/>
      <c r="H90" s="43"/>
      <c r="I90" s="256"/>
      <c r="J90" s="241"/>
      <c r="K90" s="44"/>
      <c r="L90" s="44"/>
      <c r="M90" s="45" t="s">
        <v>22</v>
      </c>
      <c r="N90" s="46">
        <f>SUM(N85:N89)</f>
        <v>6390.4590000000007</v>
      </c>
      <c r="O90" s="4"/>
      <c r="P90" s="318">
        <f t="shared" si="57"/>
        <v>0</v>
      </c>
      <c r="Q90" s="319">
        <f t="shared" si="58"/>
        <v>0</v>
      </c>
      <c r="R90" s="4"/>
    </row>
    <row r="91" spans="1:18" ht="18" customHeight="1" x14ac:dyDescent="0.2">
      <c r="A91" s="72" t="str">
        <f>IF(G91&lt;&gt;"",1+MAX($A$2:A90),"")</f>
        <v/>
      </c>
      <c r="B91" s="153"/>
      <c r="C91" s="153"/>
      <c r="D91" s="73"/>
      <c r="E91" s="74"/>
      <c r="F91" s="285"/>
      <c r="G91" s="75"/>
      <c r="H91" s="285"/>
      <c r="I91" s="286"/>
      <c r="J91" s="287"/>
      <c r="K91" s="76"/>
      <c r="L91" s="76"/>
      <c r="M91" s="288"/>
      <c r="N91" s="77"/>
      <c r="O91" s="9"/>
      <c r="P91" s="318">
        <f t="shared" si="57"/>
        <v>0</v>
      </c>
      <c r="Q91" s="319">
        <f t="shared" si="58"/>
        <v>0</v>
      </c>
      <c r="R91" s="9"/>
    </row>
    <row r="92" spans="1:18" ht="18" customHeight="1" x14ac:dyDescent="0.2">
      <c r="A92" s="50" t="str">
        <f>IF(G92&lt;&gt;"",1+MAX($A$2:A91),"")</f>
        <v/>
      </c>
      <c r="B92" s="151"/>
      <c r="C92" s="151"/>
      <c r="D92" s="52"/>
      <c r="E92" s="53" t="s">
        <v>50</v>
      </c>
      <c r="F92" s="54"/>
      <c r="G92" s="54"/>
      <c r="H92" s="54"/>
      <c r="I92" s="167"/>
      <c r="J92" s="239"/>
      <c r="K92" s="54"/>
      <c r="L92" s="54"/>
      <c r="M92" s="55"/>
      <c r="N92" s="56"/>
      <c r="O92" s="9"/>
      <c r="P92" s="318">
        <f t="shared" si="57"/>
        <v>0</v>
      </c>
      <c r="Q92" s="319">
        <f t="shared" si="58"/>
        <v>0</v>
      </c>
      <c r="R92" s="9"/>
    </row>
    <row r="93" spans="1:18" ht="18" customHeight="1" x14ac:dyDescent="0.25">
      <c r="A93" s="84" t="str">
        <f>IF(G93&lt;&gt;"",1+MAX($A$2:A92),"")</f>
        <v/>
      </c>
      <c r="B93" s="145"/>
      <c r="C93" s="150"/>
      <c r="D93" s="226" t="s">
        <v>51</v>
      </c>
      <c r="E93" s="135"/>
      <c r="F93" s="64"/>
      <c r="G93" s="65"/>
      <c r="H93" s="37"/>
      <c r="I93" s="66"/>
      <c r="J93" s="242"/>
      <c r="K93" s="60"/>
      <c r="L93" s="60"/>
      <c r="M93" s="39"/>
      <c r="N93" s="41"/>
      <c r="O93" s="9"/>
      <c r="P93" s="318">
        <f t="shared" si="57"/>
        <v>0</v>
      </c>
      <c r="Q93" s="319">
        <f t="shared" si="58"/>
        <v>0</v>
      </c>
      <c r="R93" s="9"/>
    </row>
    <row r="94" spans="1:18" ht="18" customHeight="1" x14ac:dyDescent="0.2">
      <c r="A94" s="67" t="str">
        <f>IF(G94&lt;&gt;"",1+MAX($A$2:A93),"")</f>
        <v/>
      </c>
      <c r="B94" s="229"/>
      <c r="C94" s="143"/>
      <c r="D94" s="136" t="s">
        <v>135</v>
      </c>
      <c r="E94" s="70"/>
      <c r="F94" s="37"/>
      <c r="G94" s="36"/>
      <c r="H94" s="37"/>
      <c r="I94" s="66"/>
      <c r="J94" s="242"/>
      <c r="K94" s="38"/>
      <c r="L94" s="38"/>
      <c r="M94" s="39"/>
      <c r="N94" s="41"/>
      <c r="O94" s="9"/>
      <c r="P94" s="318">
        <f t="shared" si="57"/>
        <v>0</v>
      </c>
      <c r="Q94" s="319">
        <f t="shared" si="58"/>
        <v>0</v>
      </c>
      <c r="R94" s="9"/>
    </row>
    <row r="95" spans="1:18" ht="15.75" x14ac:dyDescent="0.2">
      <c r="A95" s="67">
        <f>IF(G95&lt;&gt;"",1+MAX($A$2:A94),"")</f>
        <v>55</v>
      </c>
      <c r="B95" s="229" t="s">
        <v>131</v>
      </c>
      <c r="C95" s="86" t="s">
        <v>136</v>
      </c>
      <c r="D95" s="27" t="s">
        <v>196</v>
      </c>
      <c r="E95" s="35" t="s">
        <v>34</v>
      </c>
      <c r="F95" s="37">
        <v>60</v>
      </c>
      <c r="G95" s="36">
        <v>0.05</v>
      </c>
      <c r="H95" s="37">
        <f t="shared" ref="H95" si="59">(G95*F95)+F95</f>
        <v>63</v>
      </c>
      <c r="I95" s="133">
        <v>2.4E-2</v>
      </c>
      <c r="J95" s="240">
        <v>45</v>
      </c>
      <c r="K95" s="38">
        <f>I95*J95</f>
        <v>1.08</v>
      </c>
      <c r="L95" s="38">
        <f>52.94/3</f>
        <v>17.646666666666665</v>
      </c>
      <c r="M95" s="39">
        <f>+L95+K95</f>
        <v>18.726666666666667</v>
      </c>
      <c r="N95" s="41">
        <f>H95*M95</f>
        <v>1179.78</v>
      </c>
      <c r="O95" s="9"/>
      <c r="P95" s="318">
        <f t="shared" si="57"/>
        <v>68.040000000000006</v>
      </c>
      <c r="Q95" s="319">
        <f t="shared" si="58"/>
        <v>1111.7399999999998</v>
      </c>
      <c r="R95" s="9"/>
    </row>
    <row r="96" spans="1:18" ht="18" customHeight="1" x14ac:dyDescent="0.2">
      <c r="A96" s="67" t="str">
        <f>IF(G96&lt;&gt;"",1+MAX($A$2:A95),"")</f>
        <v/>
      </c>
      <c r="B96" s="229"/>
      <c r="C96" s="143"/>
      <c r="D96" s="136" t="s">
        <v>221</v>
      </c>
      <c r="E96" s="71"/>
      <c r="F96" s="37"/>
      <c r="G96" s="36"/>
      <c r="H96" s="37"/>
      <c r="I96" s="169"/>
      <c r="J96" s="243"/>
      <c r="K96" s="38"/>
      <c r="L96" s="38"/>
      <c r="M96" s="39"/>
      <c r="N96" s="41"/>
      <c r="P96" s="318">
        <f t="shared" si="57"/>
        <v>0</v>
      </c>
      <c r="Q96" s="319">
        <f t="shared" si="58"/>
        <v>0</v>
      </c>
    </row>
    <row r="97" spans="1:18" ht="15.75" x14ac:dyDescent="0.2">
      <c r="A97" s="67">
        <f>IF(G97&lt;&gt;"",1+MAX($A$2:A96),"")</f>
        <v>56</v>
      </c>
      <c r="B97" s="229" t="s">
        <v>222</v>
      </c>
      <c r="C97" s="86" t="s">
        <v>152</v>
      </c>
      <c r="D97" s="160" t="s">
        <v>52</v>
      </c>
      <c r="E97" s="35" t="s">
        <v>34</v>
      </c>
      <c r="F97" s="37">
        <v>16</v>
      </c>
      <c r="G97" s="36">
        <v>0.05</v>
      </c>
      <c r="H97" s="37">
        <f t="shared" ref="H97:H100" si="60">(G97*F97)+F97</f>
        <v>16.8</v>
      </c>
      <c r="I97" s="133">
        <v>0.01</v>
      </c>
      <c r="J97" s="240">
        <f>J$95</f>
        <v>45</v>
      </c>
      <c r="K97" s="38">
        <f t="shared" ref="K97" si="61">I97*J97</f>
        <v>0.45</v>
      </c>
      <c r="L97" s="38">
        <v>0.4</v>
      </c>
      <c r="M97" s="39">
        <f t="shared" ref="M97" si="62">+L97+K97</f>
        <v>0.85000000000000009</v>
      </c>
      <c r="N97" s="41">
        <f t="shared" ref="N97" si="63">H97*M97</f>
        <v>14.280000000000003</v>
      </c>
      <c r="P97" s="318">
        <f t="shared" si="57"/>
        <v>7.5600000000000005</v>
      </c>
      <c r="Q97" s="319">
        <f t="shared" si="58"/>
        <v>6.7200000000000006</v>
      </c>
    </row>
    <row r="98" spans="1:18" ht="31.5" x14ac:dyDescent="0.2">
      <c r="A98" s="67">
        <f>IF(G98&lt;&gt;"",1+MAX($A$2:A97),"")</f>
        <v>57</v>
      </c>
      <c r="B98" s="351" t="s">
        <v>261</v>
      </c>
      <c r="C98" s="172" t="s">
        <v>264</v>
      </c>
      <c r="D98" s="27" t="s">
        <v>265</v>
      </c>
      <c r="E98" s="35" t="s">
        <v>34</v>
      </c>
      <c r="F98" s="37">
        <f>288+48</f>
        <v>336</v>
      </c>
      <c r="G98" s="36">
        <v>0.05</v>
      </c>
      <c r="H98" s="37">
        <f t="shared" si="60"/>
        <v>352.8</v>
      </c>
      <c r="I98" s="133">
        <v>1.2E-2</v>
      </c>
      <c r="J98" s="240">
        <f t="shared" ref="J98:J100" si="64">J$95</f>
        <v>45</v>
      </c>
      <c r="K98" s="38">
        <f>I98*J98</f>
        <v>0.54</v>
      </c>
      <c r="L98" s="38">
        <v>1.02</v>
      </c>
      <c r="M98" s="39">
        <f>+L98+K98</f>
        <v>1.56</v>
      </c>
      <c r="N98" s="41">
        <f>H98*M98</f>
        <v>550.36800000000005</v>
      </c>
      <c r="O98" s="9"/>
      <c r="P98" s="318">
        <f t="shared" si="57"/>
        <v>190.51200000000003</v>
      </c>
      <c r="Q98" s="319">
        <f t="shared" si="58"/>
        <v>359.85599999999999</v>
      </c>
      <c r="R98" s="9"/>
    </row>
    <row r="99" spans="1:18" ht="15.75" x14ac:dyDescent="0.2">
      <c r="A99" s="67">
        <f>IF(G99&lt;&gt;"",1+MAX($A$2:A98),"")</f>
        <v>58</v>
      </c>
      <c r="B99" s="359"/>
      <c r="C99" s="356" t="s">
        <v>266</v>
      </c>
      <c r="D99" s="27" t="s">
        <v>267</v>
      </c>
      <c r="E99" s="35" t="s">
        <v>34</v>
      </c>
      <c r="F99" s="37">
        <f>189+327</f>
        <v>516</v>
      </c>
      <c r="G99" s="36">
        <v>0.05</v>
      </c>
      <c r="H99" s="37">
        <f t="shared" si="60"/>
        <v>541.79999999999995</v>
      </c>
      <c r="I99" s="133">
        <v>1.2E-2</v>
      </c>
      <c r="J99" s="240">
        <f t="shared" si="64"/>
        <v>45</v>
      </c>
      <c r="K99" s="38">
        <f t="shared" ref="K99:K100" si="65">I99*J99</f>
        <v>0.54</v>
      </c>
      <c r="L99" s="38">
        <v>0.85</v>
      </c>
      <c r="M99" s="39">
        <f t="shared" ref="M99:M100" si="66">+L99+K99</f>
        <v>1.3900000000000001</v>
      </c>
      <c r="N99" s="41">
        <f t="shared" ref="N99:N100" si="67">H99*M99</f>
        <v>753.10199999999998</v>
      </c>
      <c r="O99" s="9"/>
      <c r="P99" s="318">
        <f t="shared" si="57"/>
        <v>292.572</v>
      </c>
      <c r="Q99" s="319">
        <f t="shared" si="58"/>
        <v>460.53</v>
      </c>
      <c r="R99" s="9"/>
    </row>
    <row r="100" spans="1:18" ht="15.75" x14ac:dyDescent="0.2">
      <c r="A100" s="67">
        <f>IF(G100&lt;&gt;"",1+MAX($A$2:A99),"")</f>
        <v>59</v>
      </c>
      <c r="B100" s="352"/>
      <c r="C100" s="358"/>
      <c r="D100" s="27" t="s">
        <v>268</v>
      </c>
      <c r="E100" s="35" t="s">
        <v>34</v>
      </c>
      <c r="F100" s="37">
        <f>189+327</f>
        <v>516</v>
      </c>
      <c r="G100" s="36">
        <v>0.05</v>
      </c>
      <c r="H100" s="37">
        <f t="shared" si="60"/>
        <v>541.79999999999995</v>
      </c>
      <c r="I100" s="133">
        <v>1.2999999999999999E-2</v>
      </c>
      <c r="J100" s="240">
        <f t="shared" si="64"/>
        <v>45</v>
      </c>
      <c r="K100" s="38">
        <f t="shared" si="65"/>
        <v>0.58499999999999996</v>
      </c>
      <c r="L100" s="38">
        <v>1.45</v>
      </c>
      <c r="M100" s="39">
        <f t="shared" si="66"/>
        <v>2.0350000000000001</v>
      </c>
      <c r="N100" s="41">
        <f t="shared" si="67"/>
        <v>1102.5629999999999</v>
      </c>
      <c r="O100" s="9"/>
      <c r="P100" s="318">
        <f t="shared" si="57"/>
        <v>316.95299999999997</v>
      </c>
      <c r="Q100" s="319">
        <f t="shared" si="58"/>
        <v>785.6099999999999</v>
      </c>
      <c r="R100" s="9"/>
    </row>
    <row r="101" spans="1:18" ht="18" customHeight="1" x14ac:dyDescent="0.25">
      <c r="A101" s="67" t="str">
        <f>IF(G101&lt;&gt;"",1+MAX($A$2:A100),"")</f>
        <v/>
      </c>
      <c r="B101" s="145"/>
      <c r="C101" s="150"/>
      <c r="D101" s="360" t="s">
        <v>53</v>
      </c>
      <c r="E101" s="361"/>
      <c r="F101" s="64"/>
      <c r="G101" s="65"/>
      <c r="H101" s="37"/>
      <c r="I101" s="66"/>
      <c r="J101" s="242"/>
      <c r="K101" s="60"/>
      <c r="L101" s="60"/>
      <c r="M101" s="39"/>
      <c r="N101" s="41"/>
      <c r="P101" s="318">
        <f t="shared" si="57"/>
        <v>0</v>
      </c>
      <c r="Q101" s="319">
        <f t="shared" si="58"/>
        <v>0</v>
      </c>
    </row>
    <row r="102" spans="1:18" ht="18" customHeight="1" x14ac:dyDescent="0.2">
      <c r="A102" s="67" t="str">
        <f>IF(G102&lt;&gt;"",1+MAX($A$2:A101),"")</f>
        <v/>
      </c>
      <c r="B102" s="229"/>
      <c r="C102" s="143"/>
      <c r="D102" s="136" t="s">
        <v>223</v>
      </c>
      <c r="E102" s="85"/>
      <c r="F102" s="37"/>
      <c r="G102" s="36"/>
      <c r="H102" s="37"/>
      <c r="I102" s="66"/>
      <c r="J102" s="242"/>
      <c r="K102" s="38"/>
      <c r="L102" s="38"/>
      <c r="M102" s="39"/>
      <c r="N102" s="41"/>
      <c r="P102" s="318">
        <f t="shared" si="57"/>
        <v>0</v>
      </c>
      <c r="Q102" s="319">
        <f t="shared" si="58"/>
        <v>0</v>
      </c>
    </row>
    <row r="103" spans="1:18" ht="31.5" x14ac:dyDescent="0.2">
      <c r="A103" s="67">
        <f>IF(G103&lt;&gt;"",1+MAX($A$2:A102),"")</f>
        <v>60</v>
      </c>
      <c r="B103" s="351" t="s">
        <v>222</v>
      </c>
      <c r="C103" s="353" t="s">
        <v>152</v>
      </c>
      <c r="D103" s="160" t="s">
        <v>224</v>
      </c>
      <c r="E103" s="35" t="s">
        <v>32</v>
      </c>
      <c r="F103" s="37">
        <v>1</v>
      </c>
      <c r="G103" s="36">
        <v>0</v>
      </c>
      <c r="H103" s="37">
        <f t="shared" ref="H103:H109" si="68">(G103*F103)+F103</f>
        <v>1</v>
      </c>
      <c r="I103" s="133">
        <f>1.25</f>
        <v>1.25</v>
      </c>
      <c r="J103" s="240">
        <v>48</v>
      </c>
      <c r="K103" s="38">
        <f>I103*J103</f>
        <v>60</v>
      </c>
      <c r="L103" s="38">
        <v>1150</v>
      </c>
      <c r="M103" s="39">
        <f>+L103+K103</f>
        <v>1210</v>
      </c>
      <c r="N103" s="41">
        <f>H103*M103</f>
        <v>1210</v>
      </c>
      <c r="P103" s="318">
        <f t="shared" si="57"/>
        <v>60</v>
      </c>
      <c r="Q103" s="319">
        <f t="shared" si="58"/>
        <v>1150</v>
      </c>
    </row>
    <row r="104" spans="1:18" ht="31.5" x14ac:dyDescent="0.2">
      <c r="A104" s="67">
        <f>IF(G104&lt;&gt;"",1+MAX($A$2:A103),"")</f>
        <v>61</v>
      </c>
      <c r="B104" s="359"/>
      <c r="C104" s="354"/>
      <c r="D104" s="160" t="s">
        <v>225</v>
      </c>
      <c r="E104" s="35" t="s">
        <v>32</v>
      </c>
      <c r="F104" s="37">
        <v>1</v>
      </c>
      <c r="G104" s="36">
        <v>0</v>
      </c>
      <c r="H104" s="37">
        <f t="shared" si="68"/>
        <v>1</v>
      </c>
      <c r="I104" s="133">
        <v>1</v>
      </c>
      <c r="J104" s="240">
        <f>J$103</f>
        <v>48</v>
      </c>
      <c r="K104" s="38">
        <f t="shared" ref="K104:K109" si="69">I104*J104</f>
        <v>48</v>
      </c>
      <c r="L104" s="38">
        <v>1125</v>
      </c>
      <c r="M104" s="39">
        <f t="shared" ref="M104:M109" si="70">+L104+K104</f>
        <v>1173</v>
      </c>
      <c r="N104" s="41">
        <f t="shared" ref="N104:N109" si="71">H104*M104</f>
        <v>1173</v>
      </c>
      <c r="P104" s="318">
        <f t="shared" si="57"/>
        <v>48</v>
      </c>
      <c r="Q104" s="319">
        <f t="shared" si="58"/>
        <v>1125</v>
      </c>
    </row>
    <row r="105" spans="1:18" ht="31.5" x14ac:dyDescent="0.2">
      <c r="A105" s="67">
        <f>IF(G105&lt;&gt;"",1+MAX($A$2:A104),"")</f>
        <v>62</v>
      </c>
      <c r="B105" s="359"/>
      <c r="C105" s="354"/>
      <c r="D105" s="160" t="s">
        <v>226</v>
      </c>
      <c r="E105" s="35" t="s">
        <v>32</v>
      </c>
      <c r="F105" s="37">
        <v>1</v>
      </c>
      <c r="G105" s="36">
        <v>0</v>
      </c>
      <c r="H105" s="37">
        <f t="shared" si="68"/>
        <v>1</v>
      </c>
      <c r="I105" s="133">
        <v>0.85</v>
      </c>
      <c r="J105" s="240">
        <f t="shared" ref="J105:J109" si="72">J$103</f>
        <v>48</v>
      </c>
      <c r="K105" s="38">
        <f t="shared" si="69"/>
        <v>40.799999999999997</v>
      </c>
      <c r="L105" s="38">
        <v>625.14</v>
      </c>
      <c r="M105" s="39">
        <f t="shared" si="70"/>
        <v>665.93999999999994</v>
      </c>
      <c r="N105" s="41">
        <f t="shared" si="71"/>
        <v>665.93999999999994</v>
      </c>
      <c r="P105" s="318">
        <f t="shared" si="57"/>
        <v>40.799999999999997</v>
      </c>
      <c r="Q105" s="319">
        <f t="shared" si="58"/>
        <v>625.14</v>
      </c>
    </row>
    <row r="106" spans="1:18" ht="15.75" x14ac:dyDescent="0.2">
      <c r="A106" s="67">
        <f>IF(G106&lt;&gt;"",1+MAX($A$2:A105),"")</f>
        <v>63</v>
      </c>
      <c r="B106" s="359"/>
      <c r="C106" s="354"/>
      <c r="D106" s="160" t="s">
        <v>443</v>
      </c>
      <c r="E106" s="35" t="s">
        <v>32</v>
      </c>
      <c r="F106" s="37">
        <v>1</v>
      </c>
      <c r="G106" s="36">
        <v>0</v>
      </c>
      <c r="H106" s="37">
        <f t="shared" si="68"/>
        <v>1</v>
      </c>
      <c r="I106" s="133">
        <v>1.85</v>
      </c>
      <c r="J106" s="240">
        <f t="shared" si="72"/>
        <v>48</v>
      </c>
      <c r="K106" s="38">
        <f t="shared" si="69"/>
        <v>88.800000000000011</v>
      </c>
      <c r="L106" s="38">
        <v>1725</v>
      </c>
      <c r="M106" s="39">
        <f t="shared" si="70"/>
        <v>1813.8</v>
      </c>
      <c r="N106" s="41">
        <f t="shared" si="71"/>
        <v>1813.8</v>
      </c>
      <c r="P106" s="318">
        <f t="shared" si="57"/>
        <v>88.800000000000011</v>
      </c>
      <c r="Q106" s="319">
        <f t="shared" si="58"/>
        <v>1725</v>
      </c>
    </row>
    <row r="107" spans="1:18" ht="31.5" x14ac:dyDescent="0.2">
      <c r="A107" s="67">
        <f>IF(G107&lt;&gt;"",1+MAX($A$2:A106),"")</f>
        <v>64</v>
      </c>
      <c r="B107" s="359"/>
      <c r="C107" s="354"/>
      <c r="D107" s="160" t="s">
        <v>227</v>
      </c>
      <c r="E107" s="35" t="s">
        <v>32</v>
      </c>
      <c r="F107" s="37">
        <v>4</v>
      </c>
      <c r="G107" s="36">
        <v>0</v>
      </c>
      <c r="H107" s="37">
        <f t="shared" si="68"/>
        <v>4</v>
      </c>
      <c r="I107" s="133">
        <v>0.4</v>
      </c>
      <c r="J107" s="240">
        <f t="shared" si="72"/>
        <v>48</v>
      </c>
      <c r="K107" s="38">
        <f t="shared" si="69"/>
        <v>19.200000000000003</v>
      </c>
      <c r="L107" s="38">
        <f>124.5</f>
        <v>124.5</v>
      </c>
      <c r="M107" s="39">
        <f t="shared" si="70"/>
        <v>143.69999999999999</v>
      </c>
      <c r="N107" s="41">
        <f t="shared" si="71"/>
        <v>574.79999999999995</v>
      </c>
      <c r="P107" s="318">
        <f t="shared" si="57"/>
        <v>76.800000000000011</v>
      </c>
      <c r="Q107" s="319">
        <f t="shared" si="58"/>
        <v>498</v>
      </c>
    </row>
    <row r="108" spans="1:18" ht="31.5" x14ac:dyDescent="0.2">
      <c r="A108" s="67">
        <f>IF(G108&lt;&gt;"",1+MAX($A$2:A107),"")</f>
        <v>65</v>
      </c>
      <c r="B108" s="359"/>
      <c r="C108" s="354"/>
      <c r="D108" s="160" t="s">
        <v>442</v>
      </c>
      <c r="E108" s="35" t="s">
        <v>32</v>
      </c>
      <c r="F108" s="37">
        <v>1</v>
      </c>
      <c r="G108" s="36">
        <v>0</v>
      </c>
      <c r="H108" s="37">
        <f t="shared" si="68"/>
        <v>1</v>
      </c>
      <c r="I108" s="133">
        <v>1</v>
      </c>
      <c r="J108" s="240">
        <f t="shared" si="72"/>
        <v>48</v>
      </c>
      <c r="K108" s="38">
        <f t="shared" si="69"/>
        <v>48</v>
      </c>
      <c r="L108" s="38">
        <v>485.5</v>
      </c>
      <c r="M108" s="39">
        <f t="shared" si="70"/>
        <v>533.5</v>
      </c>
      <c r="N108" s="41">
        <f t="shared" si="71"/>
        <v>533.5</v>
      </c>
      <c r="P108" s="318">
        <f t="shared" si="57"/>
        <v>48</v>
      </c>
      <c r="Q108" s="319">
        <f t="shared" si="58"/>
        <v>485.5</v>
      </c>
    </row>
    <row r="109" spans="1:18" ht="31.5" x14ac:dyDescent="0.2">
      <c r="A109" s="67">
        <f>IF(G109&lt;&gt;"",1+MAX($A$2:A108),"")</f>
        <v>66</v>
      </c>
      <c r="B109" s="352"/>
      <c r="C109" s="355"/>
      <c r="D109" s="160" t="s">
        <v>228</v>
      </c>
      <c r="E109" s="35" t="s">
        <v>32</v>
      </c>
      <c r="F109" s="37">
        <v>1</v>
      </c>
      <c r="G109" s="36">
        <v>0</v>
      </c>
      <c r="H109" s="37">
        <f t="shared" si="68"/>
        <v>1</v>
      </c>
      <c r="I109" s="133">
        <v>1.1000000000000001</v>
      </c>
      <c r="J109" s="240">
        <f t="shared" si="72"/>
        <v>48</v>
      </c>
      <c r="K109" s="38">
        <f t="shared" si="69"/>
        <v>52.800000000000004</v>
      </c>
      <c r="L109" s="38">
        <v>924.54</v>
      </c>
      <c r="M109" s="39">
        <f t="shared" si="70"/>
        <v>977.33999999999992</v>
      </c>
      <c r="N109" s="41">
        <f t="shared" si="71"/>
        <v>977.33999999999992</v>
      </c>
      <c r="P109" s="318">
        <f t="shared" si="57"/>
        <v>52.800000000000004</v>
      </c>
      <c r="Q109" s="319">
        <f t="shared" si="58"/>
        <v>924.54</v>
      </c>
    </row>
    <row r="110" spans="1:18" ht="15.75" x14ac:dyDescent="0.2">
      <c r="A110" s="112" t="str">
        <f>IF(G110&lt;&gt;"",1+MAX($A$2:A109),"")</f>
        <v/>
      </c>
      <c r="B110" s="229"/>
      <c r="C110" s="143"/>
      <c r="D110" s="362" t="s">
        <v>229</v>
      </c>
      <c r="E110" s="363"/>
      <c r="F110" s="364"/>
      <c r="G110" s="36"/>
      <c r="H110" s="37"/>
      <c r="I110" s="133"/>
      <c r="J110" s="240"/>
      <c r="K110" s="38"/>
      <c r="L110" s="38"/>
      <c r="M110" s="39"/>
      <c r="N110" s="41"/>
      <c r="P110" s="318">
        <f t="shared" si="57"/>
        <v>0</v>
      </c>
      <c r="Q110" s="319">
        <f t="shared" si="58"/>
        <v>0</v>
      </c>
    </row>
    <row r="111" spans="1:18" s="1" customFormat="1" ht="15" customHeight="1" x14ac:dyDescent="0.2">
      <c r="A111" s="42" t="str">
        <f>IF(G111&lt;&gt;"",1+MAX($A$2:A110),"")</f>
        <v/>
      </c>
      <c r="B111" s="152"/>
      <c r="C111" s="152"/>
      <c r="D111" s="43"/>
      <c r="E111" s="43"/>
      <c r="F111" s="43"/>
      <c r="G111" s="43"/>
      <c r="H111" s="43"/>
      <c r="I111" s="256"/>
      <c r="J111" s="241"/>
      <c r="K111" s="44"/>
      <c r="L111" s="44"/>
      <c r="M111" s="45" t="s">
        <v>22</v>
      </c>
      <c r="N111" s="46">
        <f>SUM(N95:N110)</f>
        <v>10548.472999999998</v>
      </c>
      <c r="O111" s="4"/>
      <c r="P111" s="318">
        <f t="shared" si="57"/>
        <v>0</v>
      </c>
      <c r="Q111" s="319">
        <f t="shared" si="58"/>
        <v>0</v>
      </c>
      <c r="R111" s="4"/>
    </row>
    <row r="112" spans="1:18" ht="18" customHeight="1" x14ac:dyDescent="0.2">
      <c r="A112" s="72" t="str">
        <f>IF(G112&lt;&gt;"",1+MAX($A$2:A111),"")</f>
        <v/>
      </c>
      <c r="B112" s="153"/>
      <c r="C112" s="153"/>
      <c r="D112" s="73"/>
      <c r="E112" s="74"/>
      <c r="F112" s="285"/>
      <c r="G112" s="75"/>
      <c r="H112" s="285"/>
      <c r="I112" s="286"/>
      <c r="J112" s="287"/>
      <c r="K112" s="76"/>
      <c r="L112" s="76"/>
      <c r="M112" s="288"/>
      <c r="N112" s="77"/>
      <c r="O112" s="9"/>
      <c r="P112" s="318">
        <f t="shared" si="57"/>
        <v>0</v>
      </c>
      <c r="Q112" s="319">
        <f t="shared" si="58"/>
        <v>0</v>
      </c>
      <c r="R112" s="9"/>
    </row>
    <row r="113" spans="1:18" ht="18" customHeight="1" x14ac:dyDescent="0.2">
      <c r="A113" s="50" t="str">
        <f>IF(G113&lt;&gt;"",1+MAX($A$2:A112),"")</f>
        <v/>
      </c>
      <c r="B113" s="151"/>
      <c r="C113" s="151"/>
      <c r="D113" s="52"/>
      <c r="E113" s="53" t="s">
        <v>54</v>
      </c>
      <c r="F113" s="54"/>
      <c r="G113" s="54"/>
      <c r="H113" s="54"/>
      <c r="I113" s="167"/>
      <c r="J113" s="239"/>
      <c r="K113" s="54"/>
      <c r="L113" s="54"/>
      <c r="M113" s="55"/>
      <c r="N113" s="56"/>
      <c r="O113" s="9"/>
      <c r="P113" s="318">
        <f t="shared" si="57"/>
        <v>0</v>
      </c>
      <c r="Q113" s="319">
        <f t="shared" si="58"/>
        <v>0</v>
      </c>
      <c r="R113" s="9"/>
    </row>
    <row r="114" spans="1:18" ht="18" customHeight="1" x14ac:dyDescent="0.25">
      <c r="A114" s="84" t="str">
        <f>IF(G114&lt;&gt;"",1+MAX($A$2:A113),"")</f>
        <v/>
      </c>
      <c r="B114" s="173"/>
      <c r="C114" s="174"/>
      <c r="D114" s="226" t="s">
        <v>269</v>
      </c>
      <c r="E114" s="135"/>
      <c r="F114" s="64"/>
      <c r="G114" s="65"/>
      <c r="H114" s="37"/>
      <c r="I114" s="66"/>
      <c r="J114" s="242"/>
      <c r="K114" s="60"/>
      <c r="L114" s="60"/>
      <c r="M114" s="39"/>
      <c r="N114" s="41"/>
      <c r="O114" s="9"/>
      <c r="P114" s="318">
        <f t="shared" si="57"/>
        <v>0</v>
      </c>
      <c r="Q114" s="319">
        <f t="shared" si="58"/>
        <v>0</v>
      </c>
      <c r="R114" s="9"/>
    </row>
    <row r="115" spans="1:18" s="8" customFormat="1" ht="15.75" x14ac:dyDescent="0.2">
      <c r="A115" s="87" t="str">
        <f>IF(G115&lt;&gt;"",1+MAX($A$2:A114),"")</f>
        <v/>
      </c>
      <c r="B115" s="154"/>
      <c r="C115" s="148"/>
      <c r="D115" s="136" t="s">
        <v>445</v>
      </c>
      <c r="E115" s="88"/>
      <c r="F115" s="89"/>
      <c r="G115" s="90"/>
      <c r="H115" s="91"/>
      <c r="I115" s="92"/>
      <c r="J115" s="245"/>
      <c r="K115" s="93"/>
      <c r="L115" s="93"/>
      <c r="M115" s="39"/>
      <c r="N115" s="41"/>
      <c r="O115" s="9"/>
      <c r="P115" s="318">
        <f t="shared" si="57"/>
        <v>0</v>
      </c>
      <c r="Q115" s="319">
        <f t="shared" si="58"/>
        <v>0</v>
      </c>
      <c r="R115" s="9"/>
    </row>
    <row r="116" spans="1:18" s="8" customFormat="1" ht="47.25" x14ac:dyDescent="0.2">
      <c r="A116" s="87">
        <f>IF(G116&lt;&gt;"",1+MAX($A$2:A115),"")</f>
        <v>67</v>
      </c>
      <c r="B116" s="345" t="s">
        <v>261</v>
      </c>
      <c r="C116" s="221" t="s">
        <v>270</v>
      </c>
      <c r="D116" s="160" t="s">
        <v>271</v>
      </c>
      <c r="E116" s="219" t="s">
        <v>7</v>
      </c>
      <c r="F116" s="91">
        <f>(12601.31*1.0138)+210+(128*1.33)</f>
        <v>13155.448077999999</v>
      </c>
      <c r="G116" s="36">
        <v>0.05</v>
      </c>
      <c r="H116" s="91">
        <f>(G116*F116)+F116</f>
        <v>13813.2204819</v>
      </c>
      <c r="I116" s="133">
        <v>5.0000000000000001E-3</v>
      </c>
      <c r="J116" s="240">
        <v>47</v>
      </c>
      <c r="K116" s="93">
        <f>I116*J116</f>
        <v>0.23500000000000001</v>
      </c>
      <c r="L116" s="93">
        <v>1.5</v>
      </c>
      <c r="M116" s="39">
        <f>+L116+K116</f>
        <v>1.7350000000000001</v>
      </c>
      <c r="N116" s="41">
        <f t="shared" ref="N116:N119" si="73">H116*M116</f>
        <v>23965.937536096502</v>
      </c>
      <c r="O116" s="9"/>
      <c r="P116" s="318">
        <f t="shared" si="57"/>
        <v>3246.1068132465002</v>
      </c>
      <c r="Q116" s="319">
        <f t="shared" si="58"/>
        <v>20719.830722849998</v>
      </c>
      <c r="R116" s="9"/>
    </row>
    <row r="117" spans="1:18" s="8" customFormat="1" ht="15.75" x14ac:dyDescent="0.2">
      <c r="A117" s="87">
        <f>IF(G117&lt;&gt;"",1+MAX($A$2:A116),"")</f>
        <v>68</v>
      </c>
      <c r="B117" s="346"/>
      <c r="C117" s="221" t="s">
        <v>272</v>
      </c>
      <c r="D117" s="27" t="s">
        <v>273</v>
      </c>
      <c r="E117" s="175" t="s">
        <v>7</v>
      </c>
      <c r="F117" s="91">
        <f t="shared" ref="F117" si="74">12601.31*1.0138</f>
        <v>12775.208078</v>
      </c>
      <c r="G117" s="36">
        <v>0.05</v>
      </c>
      <c r="H117" s="91">
        <f>(G117*F117)+F117</f>
        <v>13413.968481899999</v>
      </c>
      <c r="I117" s="133">
        <v>8.0000000000000002E-3</v>
      </c>
      <c r="J117" s="240">
        <f>J$116</f>
        <v>47</v>
      </c>
      <c r="K117" s="93">
        <f>I117*J117</f>
        <v>0.376</v>
      </c>
      <c r="L117" s="93">
        <f>0.65</f>
        <v>0.65</v>
      </c>
      <c r="M117" s="39">
        <f>+L117+K117</f>
        <v>1.026</v>
      </c>
      <c r="N117" s="41">
        <f t="shared" si="73"/>
        <v>13762.7316624294</v>
      </c>
      <c r="O117" s="9"/>
      <c r="P117" s="318">
        <f t="shared" si="57"/>
        <v>5043.6521491943995</v>
      </c>
      <c r="Q117" s="319">
        <f t="shared" si="58"/>
        <v>8719.0795132349995</v>
      </c>
      <c r="R117" s="9"/>
    </row>
    <row r="118" spans="1:18" s="8" customFormat="1" ht="47.25" x14ac:dyDescent="0.2">
      <c r="A118" s="87">
        <f>IF(G118&lt;&gt;"",1+MAX($A$2:A117),"")</f>
        <v>69</v>
      </c>
      <c r="B118" s="346"/>
      <c r="C118" s="154" t="s">
        <v>274</v>
      </c>
      <c r="D118" s="27" t="s">
        <v>275</v>
      </c>
      <c r="E118" s="220" t="s">
        <v>7</v>
      </c>
      <c r="F118" s="91">
        <f>(12601.31*1.0138)+210+(128*1.33)</f>
        <v>13155.448077999999</v>
      </c>
      <c r="G118" s="36">
        <v>0.05</v>
      </c>
      <c r="H118" s="91">
        <f>(G118*F118)+F118</f>
        <v>13813.2204819</v>
      </c>
      <c r="I118" s="133">
        <v>1.2999999999999999E-2</v>
      </c>
      <c r="J118" s="240">
        <f t="shared" ref="J118:J119" si="75">J$116</f>
        <v>47</v>
      </c>
      <c r="K118" s="93">
        <f>I118*J118</f>
        <v>0.61099999999999999</v>
      </c>
      <c r="L118" s="93">
        <v>4.25</v>
      </c>
      <c r="M118" s="39">
        <f>+L118+K118</f>
        <v>4.8609999999999998</v>
      </c>
      <c r="N118" s="41">
        <f t="shared" si="73"/>
        <v>67146.064762515889</v>
      </c>
      <c r="O118" s="9"/>
      <c r="P118" s="318">
        <f t="shared" si="57"/>
        <v>8439.8777144408996</v>
      </c>
      <c r="Q118" s="319">
        <f t="shared" si="58"/>
        <v>58706.187048075</v>
      </c>
      <c r="R118" s="9"/>
    </row>
    <row r="119" spans="1:18" s="8" customFormat="1" ht="31.5" x14ac:dyDescent="0.2">
      <c r="A119" s="87">
        <f>IF(G119&lt;&gt;"",1+MAX($A$2:A118),"")</f>
        <v>70</v>
      </c>
      <c r="B119" s="347"/>
      <c r="C119" s="222" t="s">
        <v>276</v>
      </c>
      <c r="D119" s="27" t="s">
        <v>277</v>
      </c>
      <c r="E119" s="175" t="s">
        <v>7</v>
      </c>
      <c r="F119" s="91">
        <f>(12601.31*1.0138)+210+(128*1.33)</f>
        <v>13155.448077999999</v>
      </c>
      <c r="G119" s="36">
        <v>0.05</v>
      </c>
      <c r="H119" s="91">
        <f>(G119*F119)+F119</f>
        <v>13813.2204819</v>
      </c>
      <c r="I119" s="133">
        <v>5.0000000000000001E-3</v>
      </c>
      <c r="J119" s="240">
        <f t="shared" si="75"/>
        <v>47</v>
      </c>
      <c r="K119" s="93">
        <f>I119*J119</f>
        <v>0.23500000000000001</v>
      </c>
      <c r="L119" s="93">
        <v>1.02</v>
      </c>
      <c r="M119" s="39">
        <f>+L119+K119</f>
        <v>1.2550000000000001</v>
      </c>
      <c r="N119" s="41">
        <f t="shared" si="73"/>
        <v>17335.591704784503</v>
      </c>
      <c r="O119" s="9"/>
      <c r="P119" s="318">
        <f t="shared" si="57"/>
        <v>3246.1068132465002</v>
      </c>
      <c r="Q119" s="319">
        <f t="shared" si="58"/>
        <v>14089.484891538001</v>
      </c>
      <c r="R119" s="9"/>
    </row>
    <row r="120" spans="1:18" ht="18" customHeight="1" x14ac:dyDescent="0.25">
      <c r="A120" s="87" t="str">
        <f>IF(G120&lt;&gt;"",1+MAX($A$2:A119),"")</f>
        <v/>
      </c>
      <c r="B120" s="173"/>
      <c r="C120" s="174"/>
      <c r="D120" s="226" t="s">
        <v>95</v>
      </c>
      <c r="E120" s="135"/>
      <c r="F120" s="64"/>
      <c r="G120" s="65"/>
      <c r="H120" s="37"/>
      <c r="I120" s="66"/>
      <c r="J120" s="242"/>
      <c r="K120" s="60"/>
      <c r="L120" s="60"/>
      <c r="M120" s="39"/>
      <c r="N120" s="41"/>
      <c r="O120" s="9"/>
      <c r="P120" s="318">
        <f t="shared" si="57"/>
        <v>0</v>
      </c>
      <c r="Q120" s="319">
        <f t="shared" si="58"/>
        <v>0</v>
      </c>
      <c r="R120" s="9"/>
    </row>
    <row r="121" spans="1:18" ht="47.25" x14ac:dyDescent="0.2">
      <c r="A121" s="87">
        <f>IF(G121&lt;&gt;"",1+MAX($A$2:A120),"")</f>
        <v>71</v>
      </c>
      <c r="B121" s="345" t="s">
        <v>261</v>
      </c>
      <c r="C121" s="149" t="s">
        <v>278</v>
      </c>
      <c r="D121" s="160" t="s">
        <v>421</v>
      </c>
      <c r="E121" s="37" t="s">
        <v>34</v>
      </c>
      <c r="F121" s="37">
        <f>208+(40.08*2)</f>
        <v>288.15999999999997</v>
      </c>
      <c r="G121" s="36">
        <v>0.05</v>
      </c>
      <c r="H121" s="37">
        <f t="shared" ref="H121:H126" si="76">(G121*F121)+F121</f>
        <v>302.56799999999998</v>
      </c>
      <c r="I121" s="133">
        <v>2.8000000000000001E-2</v>
      </c>
      <c r="J121" s="240">
        <f t="shared" ref="J121:J126" si="77">J$116</f>
        <v>47</v>
      </c>
      <c r="K121" s="38">
        <f>I121*J121</f>
        <v>1.3160000000000001</v>
      </c>
      <c r="L121" s="38">
        <v>41.25</v>
      </c>
      <c r="M121" s="39">
        <f>+L121+K121</f>
        <v>42.566000000000003</v>
      </c>
      <c r="N121" s="41">
        <f t="shared" ref="N121:N126" si="78">H121*M121</f>
        <v>12879.109488</v>
      </c>
      <c r="O121" s="9"/>
      <c r="P121" s="318">
        <f t="shared" si="57"/>
        <v>398.17948799999999</v>
      </c>
      <c r="Q121" s="319">
        <f t="shared" si="58"/>
        <v>12480.929999999998</v>
      </c>
      <c r="R121" s="9"/>
    </row>
    <row r="122" spans="1:18" ht="65.25" customHeight="1" x14ac:dyDescent="0.2">
      <c r="A122" s="87">
        <f>IF(G122&lt;&gt;"",1+MAX($A$2:A121),"")</f>
        <v>72</v>
      </c>
      <c r="B122" s="346"/>
      <c r="C122" s="149" t="s">
        <v>279</v>
      </c>
      <c r="D122" s="160" t="s">
        <v>422</v>
      </c>
      <c r="E122" s="35" t="s">
        <v>34</v>
      </c>
      <c r="F122" s="37">
        <f>24*2</f>
        <v>48</v>
      </c>
      <c r="G122" s="36">
        <v>0.05</v>
      </c>
      <c r="H122" s="37">
        <f t="shared" si="76"/>
        <v>50.4</v>
      </c>
      <c r="I122" s="133">
        <v>3.2000000000000001E-2</v>
      </c>
      <c r="J122" s="240">
        <f t="shared" si="77"/>
        <v>47</v>
      </c>
      <c r="K122" s="38">
        <f t="shared" ref="K122:K125" si="79">J122*I122</f>
        <v>1.504</v>
      </c>
      <c r="L122" s="38">
        <v>48.5</v>
      </c>
      <c r="M122" s="39">
        <f t="shared" ref="M122:M125" si="80">+L122+K122</f>
        <v>50.003999999999998</v>
      </c>
      <c r="N122" s="41">
        <f t="shared" si="78"/>
        <v>2520.2015999999999</v>
      </c>
      <c r="O122" s="9"/>
      <c r="P122" s="318">
        <f t="shared" si="57"/>
        <v>75.801599999999993</v>
      </c>
      <c r="Q122" s="319">
        <f t="shared" si="58"/>
        <v>2444.4</v>
      </c>
      <c r="R122" s="9"/>
    </row>
    <row r="123" spans="1:18" ht="78.75" x14ac:dyDescent="0.2">
      <c r="A123" s="87">
        <f>IF(G123&lt;&gt;"",1+MAX($A$2:A122),"")</f>
        <v>73</v>
      </c>
      <c r="B123" s="346"/>
      <c r="C123" s="149" t="s">
        <v>280</v>
      </c>
      <c r="D123" s="185" t="s">
        <v>423</v>
      </c>
      <c r="E123" s="35" t="s">
        <v>34</v>
      </c>
      <c r="F123" s="37">
        <v>522</v>
      </c>
      <c r="G123" s="36">
        <v>0.05</v>
      </c>
      <c r="H123" s="37">
        <f t="shared" si="76"/>
        <v>548.1</v>
      </c>
      <c r="I123" s="133">
        <v>2.8000000000000001E-2</v>
      </c>
      <c r="J123" s="240">
        <f t="shared" si="77"/>
        <v>47</v>
      </c>
      <c r="K123" s="38">
        <f t="shared" si="79"/>
        <v>1.3160000000000001</v>
      </c>
      <c r="L123" s="38">
        <v>11.2</v>
      </c>
      <c r="M123" s="39">
        <f t="shared" si="80"/>
        <v>12.516</v>
      </c>
      <c r="N123" s="41">
        <f t="shared" si="78"/>
        <v>6860.0196000000005</v>
      </c>
      <c r="O123" s="9"/>
      <c r="P123" s="318">
        <f t="shared" si="57"/>
        <v>721.29960000000005</v>
      </c>
      <c r="Q123" s="319">
        <f t="shared" si="58"/>
        <v>6138.72</v>
      </c>
      <c r="R123" s="9"/>
    </row>
    <row r="124" spans="1:18" ht="31.5" x14ac:dyDescent="0.2">
      <c r="A124" s="87">
        <f>IF(G124&lt;&gt;"",1+MAX($A$2:A123),"")</f>
        <v>74</v>
      </c>
      <c r="B124" s="347"/>
      <c r="C124" s="149" t="s">
        <v>281</v>
      </c>
      <c r="D124" s="160" t="s">
        <v>282</v>
      </c>
      <c r="E124" s="35" t="s">
        <v>32</v>
      </c>
      <c r="F124" s="37">
        <v>8</v>
      </c>
      <c r="G124" s="36">
        <v>0</v>
      </c>
      <c r="H124" s="37">
        <f t="shared" si="76"/>
        <v>8</v>
      </c>
      <c r="I124" s="133">
        <v>0.6</v>
      </c>
      <c r="J124" s="240">
        <f t="shared" si="77"/>
        <v>47</v>
      </c>
      <c r="K124" s="38">
        <f t="shared" si="79"/>
        <v>28.2</v>
      </c>
      <c r="L124" s="38">
        <v>68.52</v>
      </c>
      <c r="M124" s="39">
        <f t="shared" si="80"/>
        <v>96.72</v>
      </c>
      <c r="N124" s="41">
        <f t="shared" si="78"/>
        <v>773.76</v>
      </c>
      <c r="O124" s="9"/>
      <c r="P124" s="318">
        <f t="shared" si="57"/>
        <v>225.6</v>
      </c>
      <c r="Q124" s="319">
        <f t="shared" si="58"/>
        <v>548.16</v>
      </c>
      <c r="R124" s="9"/>
    </row>
    <row r="125" spans="1:18" ht="47.25" x14ac:dyDescent="0.2">
      <c r="A125" s="87">
        <f>IF(G125&lt;&gt;"",1+MAX($A$2:A124),"")</f>
        <v>75</v>
      </c>
      <c r="B125" s="154" t="s">
        <v>283</v>
      </c>
      <c r="C125" s="149" t="s">
        <v>284</v>
      </c>
      <c r="D125" s="160" t="s">
        <v>285</v>
      </c>
      <c r="E125" s="35" t="s">
        <v>7</v>
      </c>
      <c r="F125" s="37">
        <v>206</v>
      </c>
      <c r="G125" s="36">
        <v>0.05</v>
      </c>
      <c r="H125" s="37">
        <f t="shared" si="76"/>
        <v>216.3</v>
      </c>
      <c r="I125" s="133">
        <v>0.05</v>
      </c>
      <c r="J125" s="240">
        <f t="shared" si="77"/>
        <v>47</v>
      </c>
      <c r="K125" s="38">
        <f t="shared" si="79"/>
        <v>2.35</v>
      </c>
      <c r="L125" s="38">
        <v>6.72</v>
      </c>
      <c r="M125" s="39">
        <f t="shared" si="80"/>
        <v>9.07</v>
      </c>
      <c r="N125" s="41">
        <f t="shared" si="78"/>
        <v>1961.8410000000001</v>
      </c>
      <c r="O125" s="9"/>
      <c r="P125" s="318">
        <f t="shared" si="57"/>
        <v>508.30500000000006</v>
      </c>
      <c r="Q125" s="319">
        <f t="shared" si="58"/>
        <v>1453.5360000000001</v>
      </c>
      <c r="R125" s="9"/>
    </row>
    <row r="126" spans="1:18" ht="31.5" x14ac:dyDescent="0.2">
      <c r="A126" s="67">
        <f>IF(G126&lt;&gt;"",1+MAX($A$2:A125),"")</f>
        <v>76</v>
      </c>
      <c r="B126" s="154" t="s">
        <v>289</v>
      </c>
      <c r="C126" s="149" t="s">
        <v>287</v>
      </c>
      <c r="D126" s="160" t="s">
        <v>425</v>
      </c>
      <c r="E126" s="37" t="s">
        <v>34</v>
      </c>
      <c r="F126" s="37">
        <v>288</v>
      </c>
      <c r="G126" s="36">
        <v>0.05</v>
      </c>
      <c r="H126" s="37">
        <f t="shared" si="76"/>
        <v>302.39999999999998</v>
      </c>
      <c r="I126" s="133">
        <v>1.2E-2</v>
      </c>
      <c r="J126" s="240">
        <f t="shared" si="77"/>
        <v>47</v>
      </c>
      <c r="K126" s="38">
        <f>I126*J126</f>
        <v>0.56400000000000006</v>
      </c>
      <c r="L126" s="38">
        <v>2.4500000000000002</v>
      </c>
      <c r="M126" s="39">
        <f>+L126+K126</f>
        <v>3.0140000000000002</v>
      </c>
      <c r="N126" s="41">
        <f t="shared" si="78"/>
        <v>911.43359999999996</v>
      </c>
      <c r="O126" s="9"/>
      <c r="P126" s="318">
        <f t="shared" si="57"/>
        <v>170.55360000000002</v>
      </c>
      <c r="Q126" s="319">
        <f t="shared" si="58"/>
        <v>740.88</v>
      </c>
      <c r="R126" s="9"/>
    </row>
    <row r="127" spans="1:18" ht="15.6" customHeight="1" x14ac:dyDescent="0.2">
      <c r="A127" s="67" t="str">
        <f>IF(G127&lt;&gt;"",1+MAX($A$2:A126),"")</f>
        <v/>
      </c>
      <c r="B127" s="229"/>
      <c r="C127" s="143"/>
      <c r="D127" s="136" t="s">
        <v>96</v>
      </c>
      <c r="E127" s="71"/>
      <c r="F127" s="37"/>
      <c r="G127" s="36"/>
      <c r="H127" s="37"/>
      <c r="I127" s="169"/>
      <c r="J127" s="243"/>
      <c r="K127" s="38"/>
      <c r="L127" s="38"/>
      <c r="M127" s="39"/>
      <c r="N127" s="41"/>
      <c r="O127" s="9"/>
      <c r="P127" s="318">
        <f t="shared" si="57"/>
        <v>0</v>
      </c>
      <c r="Q127" s="319">
        <f t="shared" si="58"/>
        <v>0</v>
      </c>
      <c r="R127" s="9"/>
    </row>
    <row r="128" spans="1:18" ht="18" customHeight="1" x14ac:dyDescent="0.2">
      <c r="A128" s="67">
        <f>IF(G128&lt;&gt;"",1+MAX($A$2:A127),"")</f>
        <v>77</v>
      </c>
      <c r="B128" s="229" t="s">
        <v>134</v>
      </c>
      <c r="C128" s="143" t="s">
        <v>133</v>
      </c>
      <c r="D128" s="27" t="s">
        <v>190</v>
      </c>
      <c r="E128" s="35" t="s">
        <v>34</v>
      </c>
      <c r="F128" s="37">
        <v>60</v>
      </c>
      <c r="G128" s="36">
        <v>0.05</v>
      </c>
      <c r="H128" s="37">
        <f>(G128*F128)+F128</f>
        <v>63</v>
      </c>
      <c r="I128" s="133">
        <v>2.1000000000000001E-2</v>
      </c>
      <c r="J128" s="240">
        <f>J$116</f>
        <v>47</v>
      </c>
      <c r="K128" s="38">
        <f t="shared" ref="K128" si="81">J128*I128</f>
        <v>0.9870000000000001</v>
      </c>
      <c r="L128" s="38">
        <v>6.75</v>
      </c>
      <c r="M128" s="39">
        <f t="shared" ref="M128" si="82">+L128+K128</f>
        <v>7.7370000000000001</v>
      </c>
      <c r="N128" s="41">
        <f t="shared" ref="N128" si="83">H128*M128</f>
        <v>487.43099999999998</v>
      </c>
      <c r="O128" s="9"/>
      <c r="P128" s="318">
        <f t="shared" si="57"/>
        <v>62.181000000000004</v>
      </c>
      <c r="Q128" s="319">
        <f t="shared" si="58"/>
        <v>425.25</v>
      </c>
      <c r="R128" s="9"/>
    </row>
    <row r="129" spans="1:20" ht="18" customHeight="1" x14ac:dyDescent="0.25">
      <c r="A129" s="67" t="str">
        <f>IF(G129&lt;&gt;"",1+MAX($A$2:A128),"")</f>
        <v/>
      </c>
      <c r="B129" s="173"/>
      <c r="C129" s="174"/>
      <c r="D129" s="226" t="s">
        <v>286</v>
      </c>
      <c r="E129" s="135"/>
      <c r="F129" s="64"/>
      <c r="G129" s="65"/>
      <c r="H129" s="37"/>
      <c r="I129" s="66"/>
      <c r="J129" s="242"/>
      <c r="K129" s="60"/>
      <c r="L129" s="60"/>
      <c r="M129" s="39"/>
      <c r="N129" s="41"/>
      <c r="O129" s="9"/>
      <c r="P129" s="318">
        <f t="shared" si="57"/>
        <v>0</v>
      </c>
      <c r="Q129" s="319">
        <f t="shared" si="58"/>
        <v>0</v>
      </c>
      <c r="R129" s="9"/>
    </row>
    <row r="130" spans="1:20" s="8" customFormat="1" ht="15.75" x14ac:dyDescent="0.2">
      <c r="A130" s="67" t="str">
        <f>IF(G130&lt;&gt;"",1+MAX($A$2:A129),"")</f>
        <v/>
      </c>
      <c r="B130" s="221"/>
      <c r="C130" s="148"/>
      <c r="D130" s="136" t="s">
        <v>438</v>
      </c>
      <c r="E130" s="88"/>
      <c r="F130" s="89"/>
      <c r="G130" s="90"/>
      <c r="H130" s="91"/>
      <c r="I130" s="92"/>
      <c r="J130" s="245"/>
      <c r="K130" s="93"/>
      <c r="L130" s="93"/>
      <c r="M130" s="39"/>
      <c r="N130" s="41"/>
      <c r="O130" s="9"/>
      <c r="P130" s="318">
        <f t="shared" si="57"/>
        <v>0</v>
      </c>
      <c r="Q130" s="319">
        <f t="shared" si="58"/>
        <v>0</v>
      </c>
      <c r="R130" s="9"/>
    </row>
    <row r="131" spans="1:20" ht="31.5" x14ac:dyDescent="0.2">
      <c r="A131" s="67">
        <f>IF(G131&lt;&gt;"",1+MAX($A$2:A130),"")</f>
        <v>78</v>
      </c>
      <c r="B131" s="345" t="s">
        <v>261</v>
      </c>
      <c r="C131" s="149" t="s">
        <v>287</v>
      </c>
      <c r="D131" s="160" t="s">
        <v>433</v>
      </c>
      <c r="E131" s="37" t="s">
        <v>34</v>
      </c>
      <c r="F131" s="37">
        <v>288</v>
      </c>
      <c r="G131" s="36">
        <v>0.05</v>
      </c>
      <c r="H131" s="37">
        <f t="shared" ref="H131:H133" si="84">(G131*F131)+F131</f>
        <v>302.39999999999998</v>
      </c>
      <c r="I131" s="133">
        <v>2.1999999999999999E-2</v>
      </c>
      <c r="J131" s="240">
        <f t="shared" ref="J131:J133" si="85">J$116</f>
        <v>47</v>
      </c>
      <c r="K131" s="38">
        <f>I131*J131</f>
        <v>1.034</v>
      </c>
      <c r="L131" s="38">
        <v>12.58</v>
      </c>
      <c r="M131" s="39">
        <f>+L131+K131</f>
        <v>13.614000000000001</v>
      </c>
      <c r="N131" s="41">
        <f t="shared" ref="N131:N133" si="86">H131*M131</f>
        <v>4116.8735999999999</v>
      </c>
      <c r="O131" s="9"/>
      <c r="P131" s="318">
        <f t="shared" si="57"/>
        <v>312.6816</v>
      </c>
      <c r="Q131" s="319">
        <f t="shared" si="58"/>
        <v>3804.1919999999996</v>
      </c>
      <c r="R131" s="9"/>
    </row>
    <row r="132" spans="1:20" ht="31.5" x14ac:dyDescent="0.2">
      <c r="A132" s="67">
        <f>IF(G132&lt;&gt;"",1+MAX($A$2:A131),"")</f>
        <v>79</v>
      </c>
      <c r="B132" s="347"/>
      <c r="C132" s="149" t="s">
        <v>276</v>
      </c>
      <c r="D132" s="160" t="s">
        <v>434</v>
      </c>
      <c r="E132" s="37" t="s">
        <v>34</v>
      </c>
      <c r="F132" s="37">
        <v>48</v>
      </c>
      <c r="G132" s="36">
        <v>0.05</v>
      </c>
      <c r="H132" s="37">
        <f t="shared" si="84"/>
        <v>50.4</v>
      </c>
      <c r="I132" s="133">
        <f>I$131</f>
        <v>2.1999999999999999E-2</v>
      </c>
      <c r="J132" s="240">
        <f t="shared" si="85"/>
        <v>47</v>
      </c>
      <c r="K132" s="38">
        <f>I132*J132</f>
        <v>1.034</v>
      </c>
      <c r="L132" s="38">
        <f>L$131</f>
        <v>12.58</v>
      </c>
      <c r="M132" s="39">
        <f>+L132+K132</f>
        <v>13.614000000000001</v>
      </c>
      <c r="N132" s="41">
        <f t="shared" si="86"/>
        <v>686.14560000000006</v>
      </c>
      <c r="O132" s="9"/>
      <c r="P132" s="318">
        <f t="shared" si="57"/>
        <v>52.113599999999998</v>
      </c>
      <c r="Q132" s="319">
        <f t="shared" si="58"/>
        <v>634.03200000000004</v>
      </c>
      <c r="R132" s="9"/>
    </row>
    <row r="133" spans="1:20" ht="31.5" x14ac:dyDescent="0.2">
      <c r="A133" s="67">
        <f>IF(G133&lt;&gt;"",1+MAX($A$2:A132),"")</f>
        <v>80</v>
      </c>
      <c r="B133" s="154" t="s">
        <v>283</v>
      </c>
      <c r="C133" s="149" t="s">
        <v>288</v>
      </c>
      <c r="D133" s="160" t="s">
        <v>424</v>
      </c>
      <c r="E133" s="37" t="s">
        <v>34</v>
      </c>
      <c r="F133" s="37">
        <f>(157/3)*(10/12)</f>
        <v>43.611111111111114</v>
      </c>
      <c r="G133" s="36">
        <v>0.05</v>
      </c>
      <c r="H133" s="37">
        <f t="shared" si="84"/>
        <v>45.791666666666671</v>
      </c>
      <c r="I133" s="133">
        <v>1.2E-2</v>
      </c>
      <c r="J133" s="240">
        <f t="shared" si="85"/>
        <v>47</v>
      </c>
      <c r="K133" s="38">
        <f>I133*J133</f>
        <v>0.56400000000000006</v>
      </c>
      <c r="L133" s="38">
        <v>2.4500000000000002</v>
      </c>
      <c r="M133" s="39">
        <f>+L133+K133</f>
        <v>3.0140000000000002</v>
      </c>
      <c r="N133" s="41">
        <f t="shared" si="86"/>
        <v>138.01608333333337</v>
      </c>
      <c r="O133" s="9"/>
      <c r="P133" s="318">
        <f t="shared" si="57"/>
        <v>25.826500000000006</v>
      </c>
      <c r="Q133" s="319">
        <f t="shared" si="58"/>
        <v>112.18958333333336</v>
      </c>
      <c r="R133" s="9"/>
    </row>
    <row r="134" spans="1:20" ht="18" customHeight="1" x14ac:dyDescent="0.25">
      <c r="A134" s="67" t="str">
        <f>IF(G134&lt;&gt;"",1+MAX($A$2:A133),"")</f>
        <v/>
      </c>
      <c r="B134" s="173"/>
      <c r="C134" s="174"/>
      <c r="D134" s="226" t="s">
        <v>291</v>
      </c>
      <c r="E134" s="135"/>
      <c r="F134" s="64"/>
      <c r="G134" s="65"/>
      <c r="H134" s="37"/>
      <c r="I134" s="66"/>
      <c r="J134" s="242"/>
      <c r="K134" s="60"/>
      <c r="L134" s="60"/>
      <c r="M134" s="39"/>
      <c r="N134" s="41"/>
      <c r="O134" s="9"/>
      <c r="P134" s="318">
        <f t="shared" si="57"/>
        <v>0</v>
      </c>
      <c r="Q134" s="319">
        <f t="shared" si="58"/>
        <v>0</v>
      </c>
      <c r="R134" s="9"/>
    </row>
    <row r="135" spans="1:20" s="8" customFormat="1" ht="15.75" x14ac:dyDescent="0.2">
      <c r="A135" s="67" t="str">
        <f>IF(G135&lt;&gt;"",1+MAX($A$2:A134),"")</f>
        <v/>
      </c>
      <c r="B135" s="221"/>
      <c r="C135" s="148"/>
      <c r="D135" s="136" t="s">
        <v>437</v>
      </c>
      <c r="E135" s="88"/>
      <c r="F135" s="89"/>
      <c r="G135" s="90"/>
      <c r="H135" s="91"/>
      <c r="I135" s="92"/>
      <c r="J135" s="245"/>
      <c r="K135" s="93"/>
      <c r="L135" s="93"/>
      <c r="M135" s="39"/>
      <c r="N135" s="41"/>
      <c r="O135" s="9"/>
      <c r="P135" s="318">
        <f t="shared" si="57"/>
        <v>0</v>
      </c>
      <c r="Q135" s="319">
        <f t="shared" si="58"/>
        <v>0</v>
      </c>
      <c r="R135" s="9"/>
    </row>
    <row r="136" spans="1:20" ht="31.5" customHeight="1" x14ac:dyDescent="0.2">
      <c r="A136" s="67">
        <f>IF(G136&lt;&gt;"",1+MAX($A$2:A135),"")</f>
        <v>81</v>
      </c>
      <c r="B136" s="345" t="s">
        <v>261</v>
      </c>
      <c r="C136" s="345" t="s">
        <v>292</v>
      </c>
      <c r="D136" s="160" t="s">
        <v>440</v>
      </c>
      <c r="E136" s="37" t="s">
        <v>34</v>
      </c>
      <c r="F136" s="37">
        <v>55</v>
      </c>
      <c r="G136" s="36">
        <v>0.05</v>
      </c>
      <c r="H136" s="37">
        <f t="shared" ref="H136:H137" si="87">(G136*F136)+F136</f>
        <v>57.75</v>
      </c>
      <c r="I136" s="133">
        <v>0.01</v>
      </c>
      <c r="J136" s="240">
        <f t="shared" ref="J136:J137" si="88">J$116</f>
        <v>47</v>
      </c>
      <c r="K136" s="38">
        <f>I136*J136</f>
        <v>0.47000000000000003</v>
      </c>
      <c r="L136" s="38">
        <v>0.68</v>
      </c>
      <c r="M136" s="39">
        <f>+L136+K136</f>
        <v>1.1500000000000001</v>
      </c>
      <c r="N136" s="41">
        <f t="shared" ref="N136:N137" si="89">H136*M136</f>
        <v>66.412500000000009</v>
      </c>
      <c r="O136" s="9"/>
      <c r="P136" s="318">
        <f t="shared" si="57"/>
        <v>27.142500000000002</v>
      </c>
      <c r="Q136" s="319">
        <f t="shared" si="58"/>
        <v>39.270000000000003</v>
      </c>
      <c r="R136" s="9"/>
      <c r="S136" s="9"/>
      <c r="T136" s="9"/>
    </row>
    <row r="137" spans="1:20" ht="31.5" x14ac:dyDescent="0.2">
      <c r="A137" s="67">
        <f>IF(G137&lt;&gt;"",1+MAX($A$2:A136),"")</f>
        <v>82</v>
      </c>
      <c r="B137" s="347"/>
      <c r="C137" s="347"/>
      <c r="D137" s="160" t="s">
        <v>441</v>
      </c>
      <c r="E137" s="37" t="s">
        <v>34</v>
      </c>
      <c r="F137" s="37">
        <v>300</v>
      </c>
      <c r="G137" s="36">
        <v>0.05</v>
      </c>
      <c r="H137" s="37">
        <f t="shared" si="87"/>
        <v>315</v>
      </c>
      <c r="I137" s="133">
        <f>I$136</f>
        <v>0.01</v>
      </c>
      <c r="J137" s="240">
        <f t="shared" si="88"/>
        <v>47</v>
      </c>
      <c r="K137" s="38">
        <f>I137*J137</f>
        <v>0.47000000000000003</v>
      </c>
      <c r="L137" s="38">
        <f>L$136</f>
        <v>0.68</v>
      </c>
      <c r="M137" s="39">
        <f>+L137+K137</f>
        <v>1.1500000000000001</v>
      </c>
      <c r="N137" s="41">
        <f t="shared" si="89"/>
        <v>362.25000000000006</v>
      </c>
      <c r="O137" s="9"/>
      <c r="P137" s="318">
        <f t="shared" si="57"/>
        <v>148.05000000000001</v>
      </c>
      <c r="Q137" s="319">
        <f t="shared" si="58"/>
        <v>214.20000000000002</v>
      </c>
      <c r="R137" s="9"/>
      <c r="S137" s="9"/>
      <c r="T137" s="9"/>
    </row>
    <row r="138" spans="1:20" s="1" customFormat="1" ht="15" customHeight="1" x14ac:dyDescent="0.2">
      <c r="A138" s="42" t="str">
        <f>IF(G138&lt;&gt;"",1+MAX($A$2:A137),"")</f>
        <v/>
      </c>
      <c r="B138" s="152"/>
      <c r="C138" s="152"/>
      <c r="D138" s="43"/>
      <c r="E138" s="43"/>
      <c r="F138" s="43"/>
      <c r="G138" s="43"/>
      <c r="H138" s="43"/>
      <c r="I138" s="256"/>
      <c r="J138" s="241"/>
      <c r="K138" s="44"/>
      <c r="L138" s="44"/>
      <c r="M138" s="45" t="s">
        <v>22</v>
      </c>
      <c r="N138" s="46">
        <f>SUM(N116:N137)</f>
        <v>153973.81973715959</v>
      </c>
      <c r="O138" s="4"/>
      <c r="P138" s="318">
        <f t="shared" si="57"/>
        <v>0</v>
      </c>
      <c r="Q138" s="319">
        <f t="shared" si="58"/>
        <v>0</v>
      </c>
      <c r="R138" s="4"/>
    </row>
    <row r="139" spans="1:20" ht="18" customHeight="1" x14ac:dyDescent="0.2">
      <c r="A139" s="72" t="str">
        <f>IF(G139&lt;&gt;"",1+MAX($A$2:A138),"")</f>
        <v/>
      </c>
      <c r="B139" s="153"/>
      <c r="C139" s="153"/>
      <c r="D139" s="73"/>
      <c r="E139" s="74"/>
      <c r="F139" s="285"/>
      <c r="G139" s="75"/>
      <c r="H139" s="285"/>
      <c r="I139" s="286"/>
      <c r="J139" s="287"/>
      <c r="K139" s="76"/>
      <c r="L139" s="76"/>
      <c r="M139" s="288"/>
      <c r="N139" s="77"/>
      <c r="O139" s="9"/>
      <c r="P139" s="318">
        <f t="shared" si="57"/>
        <v>0</v>
      </c>
      <c r="Q139" s="319">
        <f t="shared" si="58"/>
        <v>0</v>
      </c>
      <c r="R139" s="9"/>
    </row>
    <row r="140" spans="1:20" ht="18" customHeight="1" x14ac:dyDescent="0.2">
      <c r="A140" s="50" t="str">
        <f>IF(G140&lt;&gt;"",1+MAX($A$2:A139),"")</f>
        <v/>
      </c>
      <c r="B140" s="151"/>
      <c r="C140" s="151"/>
      <c r="D140" s="52"/>
      <c r="E140" s="53" t="s">
        <v>55</v>
      </c>
      <c r="F140" s="54"/>
      <c r="G140" s="54"/>
      <c r="H140" s="54"/>
      <c r="I140" s="167"/>
      <c r="J140" s="239"/>
      <c r="K140" s="54"/>
      <c r="L140" s="54"/>
      <c r="M140" s="55"/>
      <c r="N140" s="56"/>
      <c r="O140" s="9"/>
      <c r="P140" s="318">
        <f t="shared" si="57"/>
        <v>0</v>
      </c>
      <c r="Q140" s="319">
        <f t="shared" si="58"/>
        <v>0</v>
      </c>
      <c r="R140" s="9"/>
    </row>
    <row r="141" spans="1:20" ht="18" customHeight="1" x14ac:dyDescent="0.25">
      <c r="A141" s="84" t="str">
        <f>IF(G141&lt;&gt;"",1+MAX($A$2:A140),"")</f>
        <v/>
      </c>
      <c r="B141" s="145"/>
      <c r="C141" s="150"/>
      <c r="D141" s="226" t="s">
        <v>103</v>
      </c>
      <c r="E141" s="135"/>
      <c r="F141" s="64"/>
      <c r="G141" s="65"/>
      <c r="H141" s="37"/>
      <c r="I141" s="66"/>
      <c r="J141" s="242"/>
      <c r="K141" s="60"/>
      <c r="L141" s="60"/>
      <c r="M141" s="39"/>
      <c r="N141" s="41"/>
      <c r="O141" s="9"/>
      <c r="P141" s="318">
        <f t="shared" si="57"/>
        <v>0</v>
      </c>
      <c r="Q141" s="319">
        <f t="shared" si="58"/>
        <v>0</v>
      </c>
      <c r="R141" s="9"/>
    </row>
    <row r="142" spans="1:20" ht="78.75" x14ac:dyDescent="0.25">
      <c r="A142" s="67">
        <f>IF(G142&lt;&gt;"",1+MAX($A$2:A141),"")</f>
        <v>83</v>
      </c>
      <c r="B142" s="351" t="s">
        <v>112</v>
      </c>
      <c r="C142" s="351" t="s">
        <v>111</v>
      </c>
      <c r="D142" s="139" t="s">
        <v>110</v>
      </c>
      <c r="E142" s="37" t="s">
        <v>32</v>
      </c>
      <c r="F142" s="37">
        <v>2</v>
      </c>
      <c r="G142" s="36">
        <v>0</v>
      </c>
      <c r="H142" s="37">
        <f>(G142*F142)+F142</f>
        <v>2</v>
      </c>
      <c r="I142" s="133">
        <v>3.2</v>
      </c>
      <c r="J142" s="240">
        <v>45</v>
      </c>
      <c r="K142" s="38">
        <f>I142*J142</f>
        <v>144</v>
      </c>
      <c r="L142" s="38">
        <v>1150</v>
      </c>
      <c r="M142" s="39">
        <f>+L142+K142</f>
        <v>1294</v>
      </c>
      <c r="N142" s="41">
        <f t="shared" ref="N142:N148" si="90">H142*M142</f>
        <v>2588</v>
      </c>
      <c r="O142" s="9"/>
      <c r="P142" s="318">
        <f t="shared" si="57"/>
        <v>288</v>
      </c>
      <c r="Q142" s="319">
        <f t="shared" si="58"/>
        <v>2300</v>
      </c>
      <c r="R142" s="9"/>
    </row>
    <row r="143" spans="1:20" ht="78.75" x14ac:dyDescent="0.25">
      <c r="A143" s="67">
        <f>IF(G143&lt;&gt;"",1+MAX($A$2:A142),"")</f>
        <v>84</v>
      </c>
      <c r="B143" s="359"/>
      <c r="C143" s="359"/>
      <c r="D143" s="139" t="s">
        <v>108</v>
      </c>
      <c r="E143" s="37" t="s">
        <v>32</v>
      </c>
      <c r="F143" s="37">
        <v>8</v>
      </c>
      <c r="G143" s="36">
        <v>0</v>
      </c>
      <c r="H143" s="37">
        <f t="shared" ref="H143:H148" si="91">(G143*F143)+F143</f>
        <v>8</v>
      </c>
      <c r="I143" s="133">
        <f>I$142</f>
        <v>3.2</v>
      </c>
      <c r="J143" s="240">
        <f>J$142</f>
        <v>45</v>
      </c>
      <c r="K143" s="38">
        <f>I143*J143</f>
        <v>144</v>
      </c>
      <c r="L143" s="38">
        <f>L$142</f>
        <v>1150</v>
      </c>
      <c r="M143" s="39">
        <f>+L143+K143</f>
        <v>1294</v>
      </c>
      <c r="N143" s="41">
        <f t="shared" si="90"/>
        <v>10352</v>
      </c>
      <c r="O143" s="9"/>
      <c r="P143" s="318">
        <f t="shared" si="57"/>
        <v>1152</v>
      </c>
      <c r="Q143" s="319">
        <f t="shared" si="58"/>
        <v>9200</v>
      </c>
      <c r="R143" s="9"/>
    </row>
    <row r="144" spans="1:20" ht="78.75" x14ac:dyDescent="0.25">
      <c r="A144" s="67">
        <f>IF(G144&lt;&gt;"",1+MAX($A$2:A143),"")</f>
        <v>85</v>
      </c>
      <c r="B144" s="359"/>
      <c r="C144" s="359"/>
      <c r="D144" s="139" t="s">
        <v>105</v>
      </c>
      <c r="E144" s="37" t="s">
        <v>32</v>
      </c>
      <c r="F144" s="37">
        <v>1</v>
      </c>
      <c r="G144" s="36">
        <v>0</v>
      </c>
      <c r="H144" s="37">
        <f t="shared" si="91"/>
        <v>1</v>
      </c>
      <c r="I144" s="133">
        <v>3</v>
      </c>
      <c r="J144" s="240">
        <f t="shared" ref="J144:J160" si="92">J$142</f>
        <v>45</v>
      </c>
      <c r="K144" s="38">
        <f>I144*J144</f>
        <v>135</v>
      </c>
      <c r="L144" s="38">
        <v>1085</v>
      </c>
      <c r="M144" s="39">
        <f t="shared" ref="M144:M148" si="93">+L144+K144</f>
        <v>1220</v>
      </c>
      <c r="N144" s="41">
        <f t="shared" si="90"/>
        <v>1220</v>
      </c>
      <c r="O144" s="9"/>
      <c r="P144" s="318">
        <f t="shared" si="57"/>
        <v>135</v>
      </c>
      <c r="Q144" s="319">
        <f t="shared" si="58"/>
        <v>1085</v>
      </c>
      <c r="R144" s="9"/>
    </row>
    <row r="145" spans="1:20" ht="78.75" x14ac:dyDescent="0.25">
      <c r="A145" s="67">
        <f>IF(G145&lt;&gt;"",1+MAX($A$2:A144),"")</f>
        <v>86</v>
      </c>
      <c r="B145" s="359"/>
      <c r="C145" s="359"/>
      <c r="D145" s="139" t="s">
        <v>104</v>
      </c>
      <c r="E145" s="37" t="s">
        <v>32</v>
      </c>
      <c r="F145" s="37">
        <v>1</v>
      </c>
      <c r="G145" s="36">
        <v>0</v>
      </c>
      <c r="H145" s="37">
        <f t="shared" si="91"/>
        <v>1</v>
      </c>
      <c r="I145" s="133">
        <f>I$142</f>
        <v>3.2</v>
      </c>
      <c r="J145" s="240">
        <f>J$142</f>
        <v>45</v>
      </c>
      <c r="K145" s="38">
        <f>I145*J145</f>
        <v>144</v>
      </c>
      <c r="L145" s="38">
        <f>L$142</f>
        <v>1150</v>
      </c>
      <c r="M145" s="39">
        <f t="shared" si="93"/>
        <v>1294</v>
      </c>
      <c r="N145" s="41">
        <f t="shared" si="90"/>
        <v>1294</v>
      </c>
      <c r="O145" s="9"/>
      <c r="P145" s="318">
        <f t="shared" si="57"/>
        <v>144</v>
      </c>
      <c r="Q145" s="319">
        <f t="shared" si="58"/>
        <v>1150</v>
      </c>
      <c r="R145" s="9"/>
    </row>
    <row r="146" spans="1:20" ht="78.75" x14ac:dyDescent="0.25">
      <c r="A146" s="67">
        <f>IF(G146&lt;&gt;"",1+MAX($A$2:A145),"")</f>
        <v>87</v>
      </c>
      <c r="B146" s="359"/>
      <c r="C146" s="359"/>
      <c r="D146" s="139" t="s">
        <v>106</v>
      </c>
      <c r="E146" s="37" t="s">
        <v>32</v>
      </c>
      <c r="F146" s="37">
        <v>1</v>
      </c>
      <c r="G146" s="36">
        <v>0</v>
      </c>
      <c r="H146" s="37">
        <f t="shared" si="91"/>
        <v>1</v>
      </c>
      <c r="I146" s="133">
        <v>5.85</v>
      </c>
      <c r="J146" s="240">
        <f t="shared" si="92"/>
        <v>45</v>
      </c>
      <c r="K146" s="38">
        <f t="shared" ref="K146:K152" si="94">I146*J146</f>
        <v>263.25</v>
      </c>
      <c r="L146" s="38">
        <v>2125.14</v>
      </c>
      <c r="M146" s="39">
        <f t="shared" si="93"/>
        <v>2388.39</v>
      </c>
      <c r="N146" s="41">
        <f t="shared" si="90"/>
        <v>2388.39</v>
      </c>
      <c r="O146" s="9"/>
      <c r="P146" s="318">
        <f t="shared" si="57"/>
        <v>263.25</v>
      </c>
      <c r="Q146" s="319">
        <f t="shared" si="58"/>
        <v>2125.14</v>
      </c>
      <c r="R146" s="9"/>
    </row>
    <row r="147" spans="1:20" ht="78.75" x14ac:dyDescent="0.25">
      <c r="A147" s="67">
        <f>IF(G147&lt;&gt;"",1+MAX($A$2:A146),"")</f>
        <v>88</v>
      </c>
      <c r="B147" s="359"/>
      <c r="C147" s="359"/>
      <c r="D147" s="139" t="s">
        <v>107</v>
      </c>
      <c r="E147" s="37" t="s">
        <v>32</v>
      </c>
      <c r="F147" s="37">
        <v>1</v>
      </c>
      <c r="G147" s="36">
        <v>0</v>
      </c>
      <c r="H147" s="37">
        <f t="shared" si="91"/>
        <v>1</v>
      </c>
      <c r="I147" s="133">
        <f>I$146</f>
        <v>5.85</v>
      </c>
      <c r="J147" s="240">
        <f t="shared" si="92"/>
        <v>45</v>
      </c>
      <c r="K147" s="38">
        <f t="shared" si="94"/>
        <v>263.25</v>
      </c>
      <c r="L147" s="38">
        <f>L$146</f>
        <v>2125.14</v>
      </c>
      <c r="M147" s="39">
        <f t="shared" si="93"/>
        <v>2388.39</v>
      </c>
      <c r="N147" s="41">
        <f t="shared" si="90"/>
        <v>2388.39</v>
      </c>
      <c r="O147" s="9"/>
      <c r="P147" s="318">
        <f t="shared" si="57"/>
        <v>263.25</v>
      </c>
      <c r="Q147" s="319">
        <f t="shared" si="58"/>
        <v>2125.14</v>
      </c>
      <c r="R147" s="9"/>
    </row>
    <row r="148" spans="1:20" ht="63" x14ac:dyDescent="0.25">
      <c r="A148" s="67">
        <f>IF(G148&lt;&gt;"",1+MAX($A$2:A147),"")</f>
        <v>89</v>
      </c>
      <c r="B148" s="352"/>
      <c r="C148" s="352"/>
      <c r="D148" s="139" t="s">
        <v>109</v>
      </c>
      <c r="E148" s="37" t="s">
        <v>32</v>
      </c>
      <c r="F148" s="37">
        <v>1</v>
      </c>
      <c r="G148" s="36">
        <v>0</v>
      </c>
      <c r="H148" s="37">
        <f t="shared" si="91"/>
        <v>1</v>
      </c>
      <c r="I148" s="133">
        <v>2.85</v>
      </c>
      <c r="J148" s="240">
        <f t="shared" si="92"/>
        <v>45</v>
      </c>
      <c r="K148" s="38">
        <f t="shared" si="94"/>
        <v>128.25</v>
      </c>
      <c r="L148" s="38">
        <v>825.14</v>
      </c>
      <c r="M148" s="39">
        <f t="shared" si="93"/>
        <v>953.39</v>
      </c>
      <c r="N148" s="41">
        <f t="shared" si="90"/>
        <v>953.39</v>
      </c>
      <c r="O148" s="9"/>
      <c r="P148" s="318">
        <f t="shared" si="57"/>
        <v>128.25</v>
      </c>
      <c r="Q148" s="319">
        <f t="shared" si="58"/>
        <v>825.14</v>
      </c>
      <c r="R148" s="9"/>
    </row>
    <row r="149" spans="1:20" ht="18" customHeight="1" x14ac:dyDescent="0.25">
      <c r="A149" s="84" t="str">
        <f>IF(G149&lt;&gt;"",1+MAX($A$2:A148),"")</f>
        <v/>
      </c>
      <c r="B149" s="145"/>
      <c r="C149" s="150"/>
      <c r="D149" s="226" t="s">
        <v>113</v>
      </c>
      <c r="E149" s="135"/>
      <c r="F149" s="64"/>
      <c r="G149" s="65"/>
      <c r="H149" s="37"/>
      <c r="I149" s="169"/>
      <c r="J149" s="243"/>
      <c r="K149" s="38"/>
      <c r="L149" s="38"/>
      <c r="M149" s="39"/>
      <c r="N149" s="41"/>
      <c r="O149" s="9"/>
      <c r="P149" s="318">
        <f t="shared" si="57"/>
        <v>0</v>
      </c>
      <c r="Q149" s="319">
        <f t="shared" si="58"/>
        <v>0</v>
      </c>
      <c r="R149" s="9"/>
    </row>
    <row r="150" spans="1:20" ht="173.25" x14ac:dyDescent="0.2">
      <c r="A150" s="67">
        <f>IF(G150&lt;&gt;"",1+MAX($A$2:A149),"")</f>
        <v>90</v>
      </c>
      <c r="B150" s="351" t="s">
        <v>112</v>
      </c>
      <c r="C150" s="345" t="s">
        <v>115</v>
      </c>
      <c r="D150" s="160" t="s">
        <v>118</v>
      </c>
      <c r="E150" s="37" t="s">
        <v>32</v>
      </c>
      <c r="F150" s="37">
        <v>1</v>
      </c>
      <c r="G150" s="36">
        <v>0</v>
      </c>
      <c r="H150" s="37">
        <f t="shared" ref="H150:H160" si="95">(G150*F150)+F150</f>
        <v>1</v>
      </c>
      <c r="I150" s="133">
        <v>2.8</v>
      </c>
      <c r="J150" s="240">
        <f t="shared" si="92"/>
        <v>45</v>
      </c>
      <c r="K150" s="38">
        <f t="shared" si="94"/>
        <v>125.99999999999999</v>
      </c>
      <c r="L150" s="38">
        <f>(12.25*6)+(296.6*2)+129.14+506.14+19.79+(134.22*2)+21.2+106.75+18.25+55.41</f>
        <v>1791.8200000000002</v>
      </c>
      <c r="M150" s="39">
        <f>+L150+K150</f>
        <v>1917.8200000000002</v>
      </c>
      <c r="N150" s="41">
        <f t="shared" ref="N150:N160" si="96">H150*M150</f>
        <v>1917.8200000000002</v>
      </c>
      <c r="O150" s="9"/>
      <c r="P150" s="318">
        <f t="shared" si="57"/>
        <v>125.99999999999999</v>
      </c>
      <c r="Q150" s="319">
        <f t="shared" si="58"/>
        <v>1791.8200000000002</v>
      </c>
      <c r="R150" s="9"/>
    </row>
    <row r="151" spans="1:20" ht="110.25" x14ac:dyDescent="0.2">
      <c r="A151" s="67">
        <f>IF(G151&lt;&gt;"",1+MAX($A$2:A150),"")</f>
        <v>91</v>
      </c>
      <c r="B151" s="359"/>
      <c r="C151" s="346"/>
      <c r="D151" s="160" t="s">
        <v>114</v>
      </c>
      <c r="E151" s="37" t="s">
        <v>32</v>
      </c>
      <c r="F151" s="37">
        <v>13</v>
      </c>
      <c r="G151" s="36">
        <v>0</v>
      </c>
      <c r="H151" s="37">
        <f t="shared" si="95"/>
        <v>13</v>
      </c>
      <c r="I151" s="133">
        <v>1.85</v>
      </c>
      <c r="J151" s="240">
        <f t="shared" si="92"/>
        <v>45</v>
      </c>
      <c r="K151" s="38">
        <f t="shared" si="94"/>
        <v>83.25</v>
      </c>
      <c r="L151" s="38">
        <f>(12.25*3)+25.37+129+134.22+1+89.35</f>
        <v>415.69000000000005</v>
      </c>
      <c r="M151" s="39">
        <f>+L151+K151</f>
        <v>498.94000000000005</v>
      </c>
      <c r="N151" s="41">
        <f t="shared" si="96"/>
        <v>6486.2200000000012</v>
      </c>
      <c r="O151" s="9"/>
      <c r="P151" s="318">
        <f t="shared" si="57"/>
        <v>1082.25</v>
      </c>
      <c r="Q151" s="319">
        <f t="shared" si="58"/>
        <v>5403.9700000000012</v>
      </c>
      <c r="R151" s="9"/>
    </row>
    <row r="152" spans="1:20" ht="157.5" x14ac:dyDescent="0.2">
      <c r="A152" s="67">
        <f>IF(G152&lt;&gt;"",1+MAX($A$2:A151),"")</f>
        <v>92</v>
      </c>
      <c r="B152" s="359"/>
      <c r="C152" s="347"/>
      <c r="D152" s="160" t="s">
        <v>119</v>
      </c>
      <c r="E152" s="37" t="s">
        <v>32</v>
      </c>
      <c r="F152" s="37">
        <v>1</v>
      </c>
      <c r="G152" s="36">
        <v>0</v>
      </c>
      <c r="H152" s="37">
        <f>(G152*F152)+F152</f>
        <v>1</v>
      </c>
      <c r="I152" s="133">
        <v>2.2999999999999998</v>
      </c>
      <c r="J152" s="240">
        <f t="shared" si="92"/>
        <v>45</v>
      </c>
      <c r="K152" s="38">
        <f t="shared" si="94"/>
        <v>103.49999999999999</v>
      </c>
      <c r="L152" s="38">
        <f>(12.25*3)+296.6+129.14+184.87+134.22+21.25+18.5+55.14</f>
        <v>876.47</v>
      </c>
      <c r="M152" s="39">
        <f t="shared" ref="M152:M160" si="97">+L152+K152</f>
        <v>979.97</v>
      </c>
      <c r="N152" s="41">
        <f t="shared" si="96"/>
        <v>979.97</v>
      </c>
      <c r="O152" s="9"/>
      <c r="P152" s="318">
        <f t="shared" ref="P152:P215" si="98">K152*H152</f>
        <v>103.49999999999999</v>
      </c>
      <c r="Q152" s="319">
        <f t="shared" ref="Q152:Q215" si="99">L152*H152</f>
        <v>876.47</v>
      </c>
      <c r="R152" s="9"/>
    </row>
    <row r="153" spans="1:20" ht="31.5" x14ac:dyDescent="0.2">
      <c r="A153" s="67">
        <f>IF(G153&lt;&gt;"",1+MAX($A$2:A152),"")</f>
        <v>93</v>
      </c>
      <c r="B153" s="359"/>
      <c r="C153" s="351" t="s">
        <v>111</v>
      </c>
      <c r="D153" s="160" t="s">
        <v>117</v>
      </c>
      <c r="E153" s="37" t="s">
        <v>32</v>
      </c>
      <c r="F153" s="37">
        <v>5</v>
      </c>
      <c r="G153" s="36">
        <v>0</v>
      </c>
      <c r="H153" s="37">
        <f t="shared" si="95"/>
        <v>5</v>
      </c>
      <c r="I153" s="133">
        <v>0.35</v>
      </c>
      <c r="J153" s="240">
        <f t="shared" si="92"/>
        <v>45</v>
      </c>
      <c r="K153" s="38">
        <f t="shared" ref="K153" si="100">I153*J153</f>
        <v>15.749999999999998</v>
      </c>
      <c r="L153" s="38">
        <f>162.23</f>
        <v>162.22999999999999</v>
      </c>
      <c r="M153" s="39">
        <f t="shared" si="97"/>
        <v>177.98</v>
      </c>
      <c r="N153" s="41">
        <f t="shared" si="96"/>
        <v>889.9</v>
      </c>
      <c r="O153" s="9"/>
      <c r="P153" s="318">
        <f t="shared" si="98"/>
        <v>78.749999999999986</v>
      </c>
      <c r="Q153" s="319">
        <f t="shared" si="99"/>
        <v>811.15</v>
      </c>
      <c r="R153" s="9"/>
    </row>
    <row r="154" spans="1:20" ht="31.5" x14ac:dyDescent="0.2">
      <c r="A154" s="67">
        <f>IF(G154&lt;&gt;"",1+MAX($A$2:A153),"")</f>
        <v>94</v>
      </c>
      <c r="B154" s="352"/>
      <c r="C154" s="352"/>
      <c r="D154" s="160" t="s">
        <v>116</v>
      </c>
      <c r="E154" s="37" t="s">
        <v>32</v>
      </c>
      <c r="F154" s="37">
        <v>1</v>
      </c>
      <c r="G154" s="36">
        <v>0</v>
      </c>
      <c r="H154" s="37">
        <f t="shared" si="95"/>
        <v>1</v>
      </c>
      <c r="I154" s="133">
        <v>0.5</v>
      </c>
      <c r="J154" s="240">
        <f t="shared" si="92"/>
        <v>45</v>
      </c>
      <c r="K154" s="38">
        <f t="shared" ref="K154:K160" si="101">I154*J154</f>
        <v>22.5</v>
      </c>
      <c r="L154" s="38">
        <v>310.82</v>
      </c>
      <c r="M154" s="39">
        <f t="shared" si="97"/>
        <v>333.32</v>
      </c>
      <c r="N154" s="41">
        <f t="shared" si="96"/>
        <v>333.32</v>
      </c>
      <c r="O154" s="9"/>
      <c r="P154" s="318">
        <f t="shared" si="98"/>
        <v>22.5</v>
      </c>
      <c r="Q154" s="319">
        <f t="shared" si="99"/>
        <v>310.82</v>
      </c>
      <c r="R154" s="9"/>
    </row>
    <row r="155" spans="1:20" ht="18" customHeight="1" x14ac:dyDescent="0.25">
      <c r="A155" s="61" t="str">
        <f>IF(G155&lt;&gt;"",1+MAX($A$2:A154),"")</f>
        <v/>
      </c>
      <c r="B155" s="62"/>
      <c r="C155" s="96"/>
      <c r="D155" s="176" t="s">
        <v>439</v>
      </c>
      <c r="E155" s="37"/>
      <c r="F155" s="64"/>
      <c r="G155" s="65"/>
      <c r="H155" s="37"/>
      <c r="I155" s="66"/>
      <c r="J155" s="242"/>
      <c r="K155" s="60"/>
      <c r="L155" s="60"/>
      <c r="M155" s="39"/>
      <c r="N155" s="41"/>
      <c r="O155" s="9"/>
      <c r="P155" s="318">
        <f t="shared" si="98"/>
        <v>0</v>
      </c>
      <c r="Q155" s="319">
        <f t="shared" si="99"/>
        <v>0</v>
      </c>
      <c r="R155" s="9"/>
      <c r="S155" s="9"/>
      <c r="T155" s="9"/>
    </row>
    <row r="156" spans="1:20" ht="31.5" x14ac:dyDescent="0.2">
      <c r="A156" s="67">
        <f>IF(G156&lt;&gt;"",1+MAX($A$2:A155),"")</f>
        <v>95</v>
      </c>
      <c r="B156" s="229" t="s">
        <v>261</v>
      </c>
      <c r="C156" s="149" t="s">
        <v>287</v>
      </c>
      <c r="D156" s="160" t="s">
        <v>290</v>
      </c>
      <c r="E156" s="37" t="s">
        <v>34</v>
      </c>
      <c r="F156" s="37">
        <v>288</v>
      </c>
      <c r="G156" s="36">
        <v>0.05</v>
      </c>
      <c r="H156" s="37">
        <f t="shared" ref="H156" si="102">(G156*F156)+F156</f>
        <v>302.39999999999998</v>
      </c>
      <c r="I156" s="133">
        <v>1.4E-2</v>
      </c>
      <c r="J156" s="240">
        <f t="shared" si="92"/>
        <v>45</v>
      </c>
      <c r="K156" s="38">
        <f>I156*J156</f>
        <v>0.63</v>
      </c>
      <c r="L156" s="38">
        <v>2.12</v>
      </c>
      <c r="M156" s="39">
        <f>+L156+K156</f>
        <v>2.75</v>
      </c>
      <c r="N156" s="41">
        <f t="shared" ref="N156" si="103">H156*M156</f>
        <v>831.59999999999991</v>
      </c>
      <c r="O156" s="9"/>
      <c r="P156" s="318">
        <f t="shared" si="98"/>
        <v>190.512</v>
      </c>
      <c r="Q156" s="319">
        <f t="shared" si="99"/>
        <v>641.08799999999997</v>
      </c>
      <c r="R156" s="9"/>
      <c r="S156" s="9"/>
      <c r="T156" s="9"/>
    </row>
    <row r="157" spans="1:20" ht="18" customHeight="1" x14ac:dyDescent="0.25">
      <c r="A157" s="84" t="str">
        <f>IF(G157&lt;&gt;"",1+MAX($A$2:A156),"")</f>
        <v/>
      </c>
      <c r="B157" s="145"/>
      <c r="C157" s="150"/>
      <c r="D157" s="226" t="s">
        <v>120</v>
      </c>
      <c r="E157" s="135"/>
      <c r="F157" s="64"/>
      <c r="G157" s="65"/>
      <c r="H157" s="37"/>
      <c r="I157" s="169"/>
      <c r="J157" s="243"/>
      <c r="K157" s="38"/>
      <c r="L157" s="38"/>
      <c r="M157" s="39"/>
      <c r="N157" s="41"/>
      <c r="O157" s="9"/>
      <c r="P157" s="318">
        <f t="shared" si="98"/>
        <v>0</v>
      </c>
      <c r="Q157" s="319">
        <f t="shared" si="99"/>
        <v>0</v>
      </c>
      <c r="R157" s="9"/>
    </row>
    <row r="158" spans="1:20" ht="31.5" x14ac:dyDescent="0.2">
      <c r="A158" s="67">
        <f>IF(G158&lt;&gt;"",1+MAX($A$2:A157),"")</f>
        <v>96</v>
      </c>
      <c r="B158" s="351" t="s">
        <v>112</v>
      </c>
      <c r="C158" s="345" t="s">
        <v>127</v>
      </c>
      <c r="D158" s="160" t="s">
        <v>121</v>
      </c>
      <c r="E158" s="37" t="s">
        <v>32</v>
      </c>
      <c r="F158" s="37">
        <v>4</v>
      </c>
      <c r="G158" s="36">
        <v>0</v>
      </c>
      <c r="H158" s="37">
        <f t="shared" si="95"/>
        <v>4</v>
      </c>
      <c r="I158" s="133">
        <v>0.5</v>
      </c>
      <c r="J158" s="240">
        <f t="shared" si="92"/>
        <v>45</v>
      </c>
      <c r="K158" s="38">
        <f t="shared" si="101"/>
        <v>22.5</v>
      </c>
      <c r="L158" s="38">
        <v>219.99</v>
      </c>
      <c r="M158" s="39">
        <f t="shared" si="97"/>
        <v>242.49</v>
      </c>
      <c r="N158" s="41">
        <f t="shared" si="96"/>
        <v>969.96</v>
      </c>
      <c r="O158" s="9"/>
      <c r="P158" s="318">
        <f t="shared" si="98"/>
        <v>90</v>
      </c>
      <c r="Q158" s="319">
        <f t="shared" si="99"/>
        <v>879.96</v>
      </c>
      <c r="R158" s="9"/>
    </row>
    <row r="159" spans="1:20" ht="31.5" x14ac:dyDescent="0.2">
      <c r="A159" s="67">
        <f>IF(G159&lt;&gt;"",1+MAX($A$2:A158),"")</f>
        <v>97</v>
      </c>
      <c r="B159" s="359"/>
      <c r="C159" s="346"/>
      <c r="D159" s="160" t="s">
        <v>122</v>
      </c>
      <c r="E159" s="37" t="s">
        <v>32</v>
      </c>
      <c r="F159" s="37">
        <v>11</v>
      </c>
      <c r="G159" s="36">
        <v>0</v>
      </c>
      <c r="H159" s="37">
        <f t="shared" si="95"/>
        <v>11</v>
      </c>
      <c r="I159" s="133">
        <v>0.5</v>
      </c>
      <c r="J159" s="240">
        <f t="shared" si="92"/>
        <v>45</v>
      </c>
      <c r="K159" s="38">
        <f t="shared" si="101"/>
        <v>22.5</v>
      </c>
      <c r="L159" s="38">
        <v>219.99</v>
      </c>
      <c r="M159" s="39">
        <f t="shared" si="97"/>
        <v>242.49</v>
      </c>
      <c r="N159" s="41">
        <f t="shared" si="96"/>
        <v>2667.3900000000003</v>
      </c>
      <c r="O159" s="9"/>
      <c r="P159" s="318">
        <f t="shared" si="98"/>
        <v>247.5</v>
      </c>
      <c r="Q159" s="319">
        <f t="shared" si="99"/>
        <v>2419.8900000000003</v>
      </c>
      <c r="R159" s="9"/>
    </row>
    <row r="160" spans="1:20" ht="15.75" x14ac:dyDescent="0.2">
      <c r="A160" s="67">
        <f>IF(G160&lt;&gt;"",1+MAX($A$2:A159),"")</f>
        <v>98</v>
      </c>
      <c r="B160" s="352"/>
      <c r="C160" s="347"/>
      <c r="D160" s="160" t="s">
        <v>123</v>
      </c>
      <c r="E160" s="37" t="s">
        <v>32</v>
      </c>
      <c r="F160" s="37">
        <v>15</v>
      </c>
      <c r="G160" s="36">
        <v>0</v>
      </c>
      <c r="H160" s="37">
        <f t="shared" si="95"/>
        <v>15</v>
      </c>
      <c r="I160" s="133">
        <v>0.2</v>
      </c>
      <c r="J160" s="240">
        <f t="shared" si="92"/>
        <v>45</v>
      </c>
      <c r="K160" s="38">
        <f t="shared" si="101"/>
        <v>9</v>
      </c>
      <c r="L160" s="38">
        <v>14.57</v>
      </c>
      <c r="M160" s="39">
        <f t="shared" si="97"/>
        <v>23.57</v>
      </c>
      <c r="N160" s="41">
        <f t="shared" si="96"/>
        <v>353.55</v>
      </c>
      <c r="O160" s="9"/>
      <c r="P160" s="318">
        <f t="shared" si="98"/>
        <v>135</v>
      </c>
      <c r="Q160" s="319">
        <f t="shared" si="99"/>
        <v>218.55</v>
      </c>
      <c r="R160" s="9"/>
    </row>
    <row r="161" spans="1:18" ht="47.25" x14ac:dyDescent="0.2">
      <c r="A161" s="67" t="str">
        <f>IF(G161&lt;&gt;"",1+MAX($A$2:A160),"")</f>
        <v/>
      </c>
      <c r="B161" s="229"/>
      <c r="C161" s="149" t="s">
        <v>115</v>
      </c>
      <c r="D161" s="163" t="s">
        <v>124</v>
      </c>
      <c r="E161" s="37"/>
      <c r="F161" s="37"/>
      <c r="G161" s="36"/>
      <c r="H161" s="37"/>
      <c r="I161" s="133"/>
      <c r="J161" s="240"/>
      <c r="K161" s="38"/>
      <c r="L161" s="38"/>
      <c r="M161" s="39"/>
      <c r="N161" s="41"/>
      <c r="O161" s="9"/>
      <c r="P161" s="318">
        <f t="shared" si="98"/>
        <v>0</v>
      </c>
      <c r="Q161" s="319">
        <f t="shared" si="99"/>
        <v>0</v>
      </c>
      <c r="R161" s="9"/>
    </row>
    <row r="162" spans="1:18" ht="18" customHeight="1" x14ac:dyDescent="0.25">
      <c r="A162" s="84" t="str">
        <f>IF(G162&lt;&gt;"",1+MAX($A$2:A161),"")</f>
        <v/>
      </c>
      <c r="B162" s="145"/>
      <c r="C162" s="150"/>
      <c r="D162" s="226" t="s">
        <v>56</v>
      </c>
      <c r="E162" s="135"/>
      <c r="F162" s="64"/>
      <c r="G162" s="65"/>
      <c r="H162" s="37"/>
      <c r="I162" s="169"/>
      <c r="J162" s="243"/>
      <c r="K162" s="38"/>
      <c r="L162" s="38"/>
      <c r="M162" s="39"/>
      <c r="N162" s="41"/>
      <c r="O162" s="9"/>
      <c r="P162" s="318">
        <f t="shared" si="98"/>
        <v>0</v>
      </c>
      <c r="Q162" s="319">
        <f t="shared" si="99"/>
        <v>0</v>
      </c>
      <c r="R162" s="9"/>
    </row>
    <row r="163" spans="1:18" ht="78.75" x14ac:dyDescent="0.2">
      <c r="A163" s="67">
        <f>IF(G163&lt;&gt;"",1+MAX($A$2:A162),"")</f>
        <v>99</v>
      </c>
      <c r="B163" s="351" t="s">
        <v>139</v>
      </c>
      <c r="C163" s="345" t="s">
        <v>140</v>
      </c>
      <c r="D163" s="160" t="s">
        <v>167</v>
      </c>
      <c r="E163" s="37" t="s">
        <v>32</v>
      </c>
      <c r="F163" s="218">
        <v>2</v>
      </c>
      <c r="G163" s="36">
        <v>0</v>
      </c>
      <c r="H163" s="37">
        <f t="shared" ref="H163:H164" si="104">(G163*F163)+F163</f>
        <v>2</v>
      </c>
      <c r="I163" s="133">
        <v>2.5</v>
      </c>
      <c r="J163" s="240">
        <f t="shared" ref="J163:J170" si="105">J$142</f>
        <v>45</v>
      </c>
      <c r="K163" s="38">
        <f t="shared" ref="K163:K164" si="106">I163*J163</f>
        <v>112.5</v>
      </c>
      <c r="L163" s="38">
        <f>62*4.67*4</f>
        <v>1158.1600000000001</v>
      </c>
      <c r="M163" s="39">
        <f t="shared" ref="M163:M164" si="107">+L163+K163</f>
        <v>1270.6600000000001</v>
      </c>
      <c r="N163" s="41">
        <f t="shared" ref="N163:N164" si="108">H163*M163</f>
        <v>2541.3200000000002</v>
      </c>
      <c r="O163" s="9"/>
      <c r="P163" s="318">
        <f t="shared" si="98"/>
        <v>225</v>
      </c>
      <c r="Q163" s="319">
        <f t="shared" si="99"/>
        <v>2316.3200000000002</v>
      </c>
      <c r="R163" s="9"/>
    </row>
    <row r="164" spans="1:18" ht="78.75" x14ac:dyDescent="0.2">
      <c r="A164" s="67">
        <f>IF(G164&lt;&gt;"",1+MAX($A$2:A163),"")</f>
        <v>100</v>
      </c>
      <c r="B164" s="359"/>
      <c r="C164" s="346"/>
      <c r="D164" s="160" t="s">
        <v>168</v>
      </c>
      <c r="E164" s="37" t="s">
        <v>32</v>
      </c>
      <c r="F164" s="35">
        <v>4</v>
      </c>
      <c r="G164" s="36">
        <v>0</v>
      </c>
      <c r="H164" s="37">
        <f t="shared" si="104"/>
        <v>4</v>
      </c>
      <c r="I164" s="133">
        <v>2.5</v>
      </c>
      <c r="J164" s="240">
        <f t="shared" si="105"/>
        <v>45</v>
      </c>
      <c r="K164" s="38">
        <f t="shared" si="106"/>
        <v>112.5</v>
      </c>
      <c r="L164" s="38">
        <f>L$163</f>
        <v>1158.1600000000001</v>
      </c>
      <c r="M164" s="39">
        <f t="shared" si="107"/>
        <v>1270.6600000000001</v>
      </c>
      <c r="N164" s="41">
        <f t="shared" si="108"/>
        <v>5082.6400000000003</v>
      </c>
      <c r="O164" s="9"/>
      <c r="P164" s="318">
        <f t="shared" si="98"/>
        <v>450</v>
      </c>
      <c r="Q164" s="319">
        <f t="shared" si="99"/>
        <v>4632.6400000000003</v>
      </c>
      <c r="R164" s="9"/>
    </row>
    <row r="165" spans="1:18" ht="78.75" x14ac:dyDescent="0.2">
      <c r="A165" s="67">
        <f>IF(G165&lt;&gt;"",1+MAX($A$2:A164),"")</f>
        <v>101</v>
      </c>
      <c r="B165" s="359"/>
      <c r="C165" s="346"/>
      <c r="D165" s="160" t="s">
        <v>169</v>
      </c>
      <c r="E165" s="37" t="s">
        <v>32</v>
      </c>
      <c r="F165" s="35">
        <v>1</v>
      </c>
      <c r="G165" s="36">
        <v>0</v>
      </c>
      <c r="H165" s="37">
        <f t="shared" ref="H165" si="109">(G165*F165)+F165</f>
        <v>1</v>
      </c>
      <c r="I165" s="133">
        <v>8.5</v>
      </c>
      <c r="J165" s="240">
        <f t="shared" si="105"/>
        <v>45</v>
      </c>
      <c r="K165" s="38">
        <f t="shared" ref="K165" si="110">I165*J165</f>
        <v>382.5</v>
      </c>
      <c r="L165" s="38">
        <f>62*6.67*8.25</f>
        <v>3411.7050000000004</v>
      </c>
      <c r="M165" s="39">
        <f t="shared" ref="M165" si="111">+L165+K165</f>
        <v>3794.2050000000004</v>
      </c>
      <c r="N165" s="41">
        <f t="shared" ref="N165" si="112">H165*M165</f>
        <v>3794.2050000000004</v>
      </c>
      <c r="O165" s="9"/>
      <c r="P165" s="318">
        <f t="shared" si="98"/>
        <v>382.5</v>
      </c>
      <c r="Q165" s="319">
        <f t="shared" si="99"/>
        <v>3411.7050000000004</v>
      </c>
      <c r="R165" s="9"/>
    </row>
    <row r="166" spans="1:18" ht="78.75" x14ac:dyDescent="0.2">
      <c r="A166" s="67">
        <f>IF(G166&lt;&gt;"",1+MAX($A$2:A165),"")</f>
        <v>102</v>
      </c>
      <c r="B166" s="359"/>
      <c r="C166" s="346"/>
      <c r="D166" s="160" t="s">
        <v>170</v>
      </c>
      <c r="E166" s="37" t="s">
        <v>32</v>
      </c>
      <c r="F166" s="35">
        <v>5</v>
      </c>
      <c r="G166" s="36">
        <v>0</v>
      </c>
      <c r="H166" s="37">
        <f t="shared" ref="H166" si="113">(G166*F166)+F166</f>
        <v>5</v>
      </c>
      <c r="I166" s="133">
        <v>6.25</v>
      </c>
      <c r="J166" s="240">
        <f t="shared" si="105"/>
        <v>45</v>
      </c>
      <c r="K166" s="38">
        <f t="shared" ref="K166" si="114">I166*J166</f>
        <v>281.25</v>
      </c>
      <c r="L166" s="38">
        <f>62*4.67*9.167</f>
        <v>2654.2131800000002</v>
      </c>
      <c r="M166" s="39">
        <f t="shared" ref="M166" si="115">+L166+K166</f>
        <v>2935.4631800000002</v>
      </c>
      <c r="N166" s="41">
        <f t="shared" ref="N166" si="116">H166*M166</f>
        <v>14677.315900000001</v>
      </c>
      <c r="O166" s="9"/>
      <c r="P166" s="318">
        <f t="shared" si="98"/>
        <v>1406.25</v>
      </c>
      <c r="Q166" s="319">
        <f t="shared" si="99"/>
        <v>13271.065900000001</v>
      </c>
      <c r="R166" s="9"/>
    </row>
    <row r="167" spans="1:18" ht="78.75" x14ac:dyDescent="0.2">
      <c r="A167" s="67">
        <f>IF(G167&lt;&gt;"",1+MAX($A$2:A166),"")</f>
        <v>103</v>
      </c>
      <c r="B167" s="359"/>
      <c r="C167" s="346"/>
      <c r="D167" s="160" t="s">
        <v>171</v>
      </c>
      <c r="E167" s="37" t="s">
        <v>32</v>
      </c>
      <c r="F167" s="35">
        <v>3</v>
      </c>
      <c r="G167" s="36">
        <v>0</v>
      </c>
      <c r="H167" s="37">
        <f t="shared" ref="H167" si="117">(G167*F167)+F167</f>
        <v>3</v>
      </c>
      <c r="I167" s="133">
        <v>2.8</v>
      </c>
      <c r="J167" s="240">
        <f t="shared" si="105"/>
        <v>45</v>
      </c>
      <c r="K167" s="38">
        <f t="shared" ref="K167" si="118">I167*J167</f>
        <v>125.99999999999999</v>
      </c>
      <c r="L167" s="38">
        <f>55*6*3.5</f>
        <v>1155</v>
      </c>
      <c r="M167" s="39">
        <f t="shared" ref="M167" si="119">+L167+K167</f>
        <v>1281</v>
      </c>
      <c r="N167" s="41">
        <f t="shared" ref="N167" si="120">H167*M167</f>
        <v>3843</v>
      </c>
      <c r="O167" s="9"/>
      <c r="P167" s="318">
        <f t="shared" si="98"/>
        <v>377.99999999999994</v>
      </c>
      <c r="Q167" s="319">
        <f t="shared" si="99"/>
        <v>3465</v>
      </c>
      <c r="R167" s="9"/>
    </row>
    <row r="168" spans="1:18" ht="94.5" x14ac:dyDescent="0.2">
      <c r="A168" s="67">
        <f>IF(G168&lt;&gt;"",1+MAX($A$2:A167),"")</f>
        <v>104</v>
      </c>
      <c r="B168" s="359"/>
      <c r="C168" s="346"/>
      <c r="D168" s="160" t="s">
        <v>172</v>
      </c>
      <c r="E168" s="37" t="s">
        <v>32</v>
      </c>
      <c r="F168" s="35">
        <v>1</v>
      </c>
      <c r="G168" s="36">
        <v>0</v>
      </c>
      <c r="H168" s="37">
        <f t="shared" ref="H168" si="121">(G168*F168)+F168</f>
        <v>1</v>
      </c>
      <c r="I168" s="133">
        <v>3.5</v>
      </c>
      <c r="J168" s="240">
        <f t="shared" si="105"/>
        <v>45</v>
      </c>
      <c r="K168" s="38">
        <f t="shared" ref="K168" si="122">I168*J168</f>
        <v>157.5</v>
      </c>
      <c r="L168" s="38">
        <f>8*3.5*55</f>
        <v>1540</v>
      </c>
      <c r="M168" s="39">
        <f t="shared" ref="M168" si="123">+L168+K168</f>
        <v>1697.5</v>
      </c>
      <c r="N168" s="41">
        <f t="shared" ref="N168" si="124">H168*M168</f>
        <v>1697.5</v>
      </c>
      <c r="O168" s="9"/>
      <c r="P168" s="318">
        <f t="shared" si="98"/>
        <v>157.5</v>
      </c>
      <c r="Q168" s="319">
        <f t="shared" si="99"/>
        <v>1540</v>
      </c>
      <c r="R168" s="9"/>
    </row>
    <row r="169" spans="1:18" ht="78.75" x14ac:dyDescent="0.2">
      <c r="A169" s="67">
        <f>IF(G169&lt;&gt;"",1+MAX($A$2:A168),"")</f>
        <v>105</v>
      </c>
      <c r="B169" s="359"/>
      <c r="C169" s="346"/>
      <c r="D169" s="160" t="s">
        <v>173</v>
      </c>
      <c r="E169" s="37" t="s">
        <v>32</v>
      </c>
      <c r="F169" s="35">
        <v>1</v>
      </c>
      <c r="G169" s="36">
        <v>0</v>
      </c>
      <c r="H169" s="37">
        <f t="shared" ref="H169" si="125">(G169*F169)+F169</f>
        <v>1</v>
      </c>
      <c r="I169" s="133">
        <v>2</v>
      </c>
      <c r="J169" s="240">
        <f t="shared" si="105"/>
        <v>45</v>
      </c>
      <c r="K169" s="38">
        <f t="shared" ref="K169" si="126">I169*J169</f>
        <v>90</v>
      </c>
      <c r="L169" s="38">
        <f>3.67*3.5*55</f>
        <v>706.47499999999991</v>
      </c>
      <c r="M169" s="39">
        <f t="shared" ref="M169" si="127">+L169+K169</f>
        <v>796.47499999999991</v>
      </c>
      <c r="N169" s="41">
        <f t="shared" ref="N169" si="128">H169*M169</f>
        <v>796.47499999999991</v>
      </c>
      <c r="O169" s="9"/>
      <c r="P169" s="318">
        <f t="shared" si="98"/>
        <v>90</v>
      </c>
      <c r="Q169" s="319">
        <f t="shared" si="99"/>
        <v>706.47499999999991</v>
      </c>
      <c r="R169" s="9"/>
    </row>
    <row r="170" spans="1:18" ht="94.5" x14ac:dyDescent="0.2">
      <c r="A170" s="67">
        <f>IF(G170&lt;&gt;"",1+MAX($A$2:A169),"")</f>
        <v>106</v>
      </c>
      <c r="B170" s="359"/>
      <c r="C170" s="346"/>
      <c r="D170" s="160" t="s">
        <v>174</v>
      </c>
      <c r="E170" s="37" t="s">
        <v>32</v>
      </c>
      <c r="F170" s="35">
        <v>1</v>
      </c>
      <c r="G170" s="36">
        <v>0</v>
      </c>
      <c r="H170" s="37">
        <f t="shared" ref="H170" si="129">(G170*F170)+F170</f>
        <v>1</v>
      </c>
      <c r="I170" s="133">
        <v>2</v>
      </c>
      <c r="J170" s="240">
        <f t="shared" si="105"/>
        <v>45</v>
      </c>
      <c r="K170" s="38">
        <f t="shared" ref="K170" si="130">I170*J170</f>
        <v>90</v>
      </c>
      <c r="L170" s="38">
        <f>3.5*3.5*55</f>
        <v>673.75</v>
      </c>
      <c r="M170" s="39">
        <f t="shared" ref="M170" si="131">+L170+K170</f>
        <v>763.75</v>
      </c>
      <c r="N170" s="41">
        <f t="shared" ref="N170" si="132">H170*M170</f>
        <v>763.75</v>
      </c>
      <c r="O170" s="9"/>
      <c r="P170" s="318">
        <f t="shared" si="98"/>
        <v>90</v>
      </c>
      <c r="Q170" s="319">
        <f t="shared" si="99"/>
        <v>673.75</v>
      </c>
      <c r="R170" s="9"/>
    </row>
    <row r="171" spans="1:18" ht="15.75" x14ac:dyDescent="0.2">
      <c r="A171" s="67" t="str">
        <f>IF(G171&lt;&gt;"",1+MAX($A$2:A170),"")</f>
        <v/>
      </c>
      <c r="B171" s="352"/>
      <c r="C171" s="347"/>
      <c r="D171" s="162" t="s">
        <v>191</v>
      </c>
      <c r="E171" s="59"/>
      <c r="F171" s="37"/>
      <c r="G171" s="36"/>
      <c r="H171" s="37"/>
      <c r="I171" s="133"/>
      <c r="J171" s="240"/>
      <c r="K171" s="38"/>
      <c r="L171" s="38"/>
      <c r="M171" s="39"/>
      <c r="N171" s="41"/>
      <c r="O171" s="9"/>
      <c r="P171" s="318">
        <f t="shared" si="98"/>
        <v>0</v>
      </c>
      <c r="Q171" s="319">
        <f t="shared" si="99"/>
        <v>0</v>
      </c>
      <c r="R171" s="9"/>
    </row>
    <row r="172" spans="1:18" ht="18" customHeight="1" x14ac:dyDescent="0.25">
      <c r="A172" s="84" t="str">
        <f>IF(G172&lt;&gt;"",1+MAX($A$2:A171),"")</f>
        <v/>
      </c>
      <c r="B172" s="145"/>
      <c r="C172" s="150"/>
      <c r="D172" s="226" t="s">
        <v>148</v>
      </c>
      <c r="E172" s="135"/>
      <c r="F172" s="64"/>
      <c r="G172" s="65"/>
      <c r="H172" s="37"/>
      <c r="I172" s="169"/>
      <c r="J172" s="243"/>
      <c r="K172" s="38"/>
      <c r="L172" s="38"/>
      <c r="M172" s="39"/>
      <c r="N172" s="41"/>
      <c r="O172" s="9"/>
      <c r="P172" s="318">
        <f t="shared" si="98"/>
        <v>0</v>
      </c>
      <c r="Q172" s="319">
        <f t="shared" si="99"/>
        <v>0</v>
      </c>
      <c r="R172" s="9"/>
    </row>
    <row r="173" spans="1:18" ht="78.75" x14ac:dyDescent="0.2">
      <c r="A173" s="67">
        <f>IF(G173&lt;&gt;"",1+MAX($A$2:A172),"")</f>
        <v>107</v>
      </c>
      <c r="B173" s="351" t="s">
        <v>200</v>
      </c>
      <c r="C173" s="345" t="s">
        <v>201</v>
      </c>
      <c r="D173" s="160" t="s">
        <v>175</v>
      </c>
      <c r="E173" s="37" t="s">
        <v>32</v>
      </c>
      <c r="F173" s="35">
        <v>1</v>
      </c>
      <c r="G173" s="36">
        <v>0</v>
      </c>
      <c r="H173" s="37">
        <f t="shared" ref="H173" si="133">(G173*F173)+F173</f>
        <v>1</v>
      </c>
      <c r="I173" s="133">
        <v>2.4500000000000002</v>
      </c>
      <c r="J173" s="240">
        <f t="shared" ref="J173:J179" si="134">J$142</f>
        <v>45</v>
      </c>
      <c r="K173" s="38">
        <f t="shared" ref="K173" si="135">I173*J173</f>
        <v>110.25000000000001</v>
      </c>
      <c r="L173" s="38">
        <f>62*6.5*2.167</f>
        <v>873.30099999999993</v>
      </c>
      <c r="M173" s="39">
        <f t="shared" ref="M173" si="136">+L173+K173</f>
        <v>983.55099999999993</v>
      </c>
      <c r="N173" s="41">
        <f t="shared" ref="N173" si="137">H173*M173</f>
        <v>983.55099999999993</v>
      </c>
      <c r="O173" s="9"/>
      <c r="P173" s="318">
        <f t="shared" si="98"/>
        <v>110.25000000000001</v>
      </c>
      <c r="Q173" s="319">
        <f t="shared" si="99"/>
        <v>873.30099999999993</v>
      </c>
      <c r="R173" s="9"/>
    </row>
    <row r="174" spans="1:18" ht="78.75" x14ac:dyDescent="0.2">
      <c r="A174" s="67">
        <f>IF(G174&lt;&gt;"",1+MAX($A$2:A173),"")</f>
        <v>108</v>
      </c>
      <c r="B174" s="359"/>
      <c r="C174" s="346"/>
      <c r="D174" s="160" t="s">
        <v>621</v>
      </c>
      <c r="E174" s="37" t="s">
        <v>32</v>
      </c>
      <c r="F174" s="35">
        <v>3</v>
      </c>
      <c r="G174" s="36">
        <v>0</v>
      </c>
      <c r="H174" s="37">
        <f t="shared" ref="H174" si="138">(G174*F174)+F174</f>
        <v>3</v>
      </c>
      <c r="I174" s="133">
        <v>2.4500000000000002</v>
      </c>
      <c r="J174" s="240">
        <f t="shared" si="134"/>
        <v>45</v>
      </c>
      <c r="K174" s="38">
        <f t="shared" ref="K174" si="139">I174*J174</f>
        <v>110.25000000000001</v>
      </c>
      <c r="L174" s="38">
        <f>6.58*2.167*62</f>
        <v>884.04931999999985</v>
      </c>
      <c r="M174" s="39">
        <f t="shared" ref="M174" si="140">+L174+K174</f>
        <v>994.29931999999985</v>
      </c>
      <c r="N174" s="41">
        <f t="shared" ref="N174" si="141">H174*M174</f>
        <v>2982.8979599999993</v>
      </c>
      <c r="O174" s="9"/>
      <c r="P174" s="318">
        <f t="shared" si="98"/>
        <v>330.75000000000006</v>
      </c>
      <c r="Q174" s="319">
        <f t="shared" si="99"/>
        <v>2652.1479599999993</v>
      </c>
      <c r="R174" s="9"/>
    </row>
    <row r="175" spans="1:18" ht="78.75" x14ac:dyDescent="0.2">
      <c r="A175" s="67">
        <f>IF(G175&lt;&gt;"",1+MAX($A$2:A174),"")</f>
        <v>109</v>
      </c>
      <c r="B175" s="359"/>
      <c r="C175" s="346"/>
      <c r="D175" s="160" t="s">
        <v>622</v>
      </c>
      <c r="E175" s="37" t="s">
        <v>32</v>
      </c>
      <c r="F175" s="35">
        <v>1</v>
      </c>
      <c r="G175" s="36">
        <v>0</v>
      </c>
      <c r="H175" s="37">
        <f t="shared" ref="H175" si="142">(G175*F175)+F175</f>
        <v>1</v>
      </c>
      <c r="I175" s="133">
        <f>I$173</f>
        <v>2.4500000000000002</v>
      </c>
      <c r="J175" s="240">
        <f t="shared" si="134"/>
        <v>45</v>
      </c>
      <c r="K175" s="38">
        <f t="shared" ref="K175" si="143">I175*J175</f>
        <v>110.25000000000001</v>
      </c>
      <c r="L175" s="38">
        <f>L$173</f>
        <v>873.30099999999993</v>
      </c>
      <c r="M175" s="39">
        <f t="shared" ref="M175" si="144">+L175+K175</f>
        <v>983.55099999999993</v>
      </c>
      <c r="N175" s="41">
        <f t="shared" ref="N175" si="145">H175*M175</f>
        <v>983.55099999999993</v>
      </c>
      <c r="O175" s="9"/>
      <c r="P175" s="318">
        <f t="shared" si="98"/>
        <v>110.25000000000001</v>
      </c>
      <c r="Q175" s="319">
        <f t="shared" si="99"/>
        <v>873.30099999999993</v>
      </c>
      <c r="R175" s="9"/>
    </row>
    <row r="176" spans="1:18" ht="78.75" x14ac:dyDescent="0.2">
      <c r="A176" s="67">
        <f>IF(G176&lt;&gt;"",1+MAX($A$2:A175),"")</f>
        <v>110</v>
      </c>
      <c r="B176" s="359"/>
      <c r="C176" s="346"/>
      <c r="D176" s="160" t="s">
        <v>176</v>
      </c>
      <c r="E176" s="37" t="s">
        <v>32</v>
      </c>
      <c r="F176" s="35">
        <v>3</v>
      </c>
      <c r="G176" s="36">
        <v>0</v>
      </c>
      <c r="H176" s="37">
        <f t="shared" ref="H176" si="146">(G176*F176)+F176</f>
        <v>3</v>
      </c>
      <c r="I176" s="133">
        <f>I$174</f>
        <v>2.4500000000000002</v>
      </c>
      <c r="J176" s="240">
        <f t="shared" si="134"/>
        <v>45</v>
      </c>
      <c r="K176" s="38">
        <f t="shared" ref="K176" si="147">I176*J176</f>
        <v>110.25000000000001</v>
      </c>
      <c r="L176" s="38">
        <f>L$174</f>
        <v>884.04931999999985</v>
      </c>
      <c r="M176" s="39">
        <f t="shared" ref="M176" si="148">+L176+K176</f>
        <v>994.29931999999985</v>
      </c>
      <c r="N176" s="41">
        <f t="shared" ref="N176" si="149">H176*M176</f>
        <v>2982.8979599999993</v>
      </c>
      <c r="O176" s="9"/>
      <c r="P176" s="318">
        <f t="shared" si="98"/>
        <v>330.75000000000006</v>
      </c>
      <c r="Q176" s="319">
        <f t="shared" si="99"/>
        <v>2652.1479599999993</v>
      </c>
      <c r="R176" s="9"/>
    </row>
    <row r="177" spans="1:18" ht="78.75" x14ac:dyDescent="0.2">
      <c r="A177" s="67">
        <f>IF(G177&lt;&gt;"",1+MAX($A$2:A176),"")</f>
        <v>111</v>
      </c>
      <c r="B177" s="359"/>
      <c r="C177" s="346"/>
      <c r="D177" s="160" t="s">
        <v>177</v>
      </c>
      <c r="E177" s="37" t="s">
        <v>32</v>
      </c>
      <c r="F177" s="35">
        <v>1</v>
      </c>
      <c r="G177" s="36">
        <v>0</v>
      </c>
      <c r="H177" s="37">
        <f t="shared" ref="H177" si="150">(G177*F177)+F177</f>
        <v>1</v>
      </c>
      <c r="I177" s="133">
        <v>2.4</v>
      </c>
      <c r="J177" s="240">
        <f t="shared" si="134"/>
        <v>45</v>
      </c>
      <c r="K177" s="38">
        <f t="shared" ref="K177:K178" si="151">I177*J177</f>
        <v>108</v>
      </c>
      <c r="L177" s="38">
        <f>62*6.33*2.167</f>
        <v>850.4608199999999</v>
      </c>
      <c r="M177" s="39">
        <f t="shared" ref="M177" si="152">+L177+K177</f>
        <v>958.4608199999999</v>
      </c>
      <c r="N177" s="41">
        <f t="shared" ref="N177" si="153">H177*M177</f>
        <v>958.4608199999999</v>
      </c>
      <c r="O177" s="9"/>
      <c r="P177" s="318">
        <f t="shared" si="98"/>
        <v>108</v>
      </c>
      <c r="Q177" s="319">
        <f t="shared" si="99"/>
        <v>850.4608199999999</v>
      </c>
      <c r="R177" s="9"/>
    </row>
    <row r="178" spans="1:18" ht="78.75" x14ac:dyDescent="0.2">
      <c r="A178" s="67">
        <f>IF(G178&lt;&gt;"",1+MAX($A$2:A177),"")</f>
        <v>112</v>
      </c>
      <c r="B178" s="359"/>
      <c r="C178" s="346"/>
      <c r="D178" s="160" t="s">
        <v>178</v>
      </c>
      <c r="E178" s="37" t="s">
        <v>32</v>
      </c>
      <c r="F178" s="35">
        <v>3</v>
      </c>
      <c r="G178" s="36">
        <v>0</v>
      </c>
      <c r="H178" s="37">
        <f t="shared" ref="H178" si="154">(G178*F178)+F178</f>
        <v>3</v>
      </c>
      <c r="I178" s="133">
        <f>I$174</f>
        <v>2.4500000000000002</v>
      </c>
      <c r="J178" s="240">
        <f t="shared" si="134"/>
        <v>45</v>
      </c>
      <c r="K178" s="38">
        <f t="shared" si="151"/>
        <v>110.25000000000001</v>
      </c>
      <c r="L178" s="38">
        <f>L$174</f>
        <v>884.04931999999985</v>
      </c>
      <c r="M178" s="39">
        <f t="shared" ref="M178" si="155">+L178+K178</f>
        <v>994.29931999999985</v>
      </c>
      <c r="N178" s="41">
        <f t="shared" ref="N178" si="156">H178*M178</f>
        <v>2982.8979599999993</v>
      </c>
      <c r="O178" s="9"/>
      <c r="P178" s="318">
        <f t="shared" si="98"/>
        <v>330.75000000000006</v>
      </c>
      <c r="Q178" s="319">
        <f t="shared" si="99"/>
        <v>2652.1479599999993</v>
      </c>
      <c r="R178" s="9"/>
    </row>
    <row r="179" spans="1:18" ht="15.75" x14ac:dyDescent="0.2">
      <c r="A179" s="67">
        <f>IF(G179&lt;&gt;"",1+MAX($A$2:A178),"")</f>
        <v>113</v>
      </c>
      <c r="B179" s="359"/>
      <c r="C179" s="346"/>
      <c r="D179" s="160" t="s">
        <v>150</v>
      </c>
      <c r="E179" s="37" t="s">
        <v>7</v>
      </c>
      <c r="F179" s="35">
        <v>17</v>
      </c>
      <c r="G179" s="36">
        <v>0.05</v>
      </c>
      <c r="H179" s="37">
        <f t="shared" ref="H179" si="157">(G179*F179)+F179</f>
        <v>17.850000000000001</v>
      </c>
      <c r="I179" s="133">
        <v>1.4999999999999999E-2</v>
      </c>
      <c r="J179" s="240">
        <f t="shared" si="134"/>
        <v>45</v>
      </c>
      <c r="K179" s="38">
        <f t="shared" ref="K179" si="158">I179*J179</f>
        <v>0.67499999999999993</v>
      </c>
      <c r="L179" s="38">
        <v>32.18</v>
      </c>
      <c r="M179" s="39">
        <f t="shared" ref="M179" si="159">+L179+K179</f>
        <v>32.854999999999997</v>
      </c>
      <c r="N179" s="41">
        <f t="shared" ref="N179" si="160">H179*M179</f>
        <v>586.46174999999994</v>
      </c>
      <c r="O179" s="9"/>
      <c r="P179" s="318">
        <f t="shared" si="98"/>
        <v>12.04875</v>
      </c>
      <c r="Q179" s="319">
        <f t="shared" si="99"/>
        <v>574.41300000000001</v>
      </c>
      <c r="R179" s="9"/>
    </row>
    <row r="180" spans="1:18" ht="15.75" x14ac:dyDescent="0.2">
      <c r="A180" s="67" t="str">
        <f>IF(G180&lt;&gt;"",1+MAX($A$2:A179),"")</f>
        <v/>
      </c>
      <c r="B180" s="352"/>
      <c r="C180" s="347"/>
      <c r="D180" s="161" t="s">
        <v>179</v>
      </c>
      <c r="E180" s="37"/>
      <c r="F180" s="37"/>
      <c r="G180" s="36"/>
      <c r="H180" s="37"/>
      <c r="I180" s="133"/>
      <c r="J180" s="240"/>
      <c r="K180" s="38"/>
      <c r="L180" s="38"/>
      <c r="M180" s="39"/>
      <c r="N180" s="41"/>
      <c r="O180" s="9"/>
      <c r="P180" s="318">
        <f t="shared" si="98"/>
        <v>0</v>
      </c>
      <c r="Q180" s="319">
        <f t="shared" si="99"/>
        <v>0</v>
      </c>
      <c r="R180" s="9"/>
    </row>
    <row r="181" spans="1:18" ht="18" customHeight="1" x14ac:dyDescent="0.25">
      <c r="A181" s="84" t="str">
        <f>IF(G181&lt;&gt;"",1+MAX($A$2:A180),"")</f>
        <v/>
      </c>
      <c r="B181" s="62"/>
      <c r="C181" s="63"/>
      <c r="D181" s="226" t="s">
        <v>293</v>
      </c>
      <c r="E181" s="135"/>
      <c r="F181" s="64"/>
      <c r="G181" s="65"/>
      <c r="H181" s="37"/>
      <c r="I181" s="66"/>
      <c r="J181" s="242"/>
      <c r="K181" s="60"/>
      <c r="L181" s="60"/>
      <c r="M181" s="39"/>
      <c r="N181" s="41"/>
      <c r="O181" s="9"/>
      <c r="P181" s="318">
        <f t="shared" si="98"/>
        <v>0</v>
      </c>
      <c r="Q181" s="319">
        <f t="shared" si="99"/>
        <v>0</v>
      </c>
      <c r="R181" s="9"/>
    </row>
    <row r="182" spans="1:18" ht="18" customHeight="1" x14ac:dyDescent="0.25">
      <c r="A182" s="84" t="str">
        <f>IF(G182&lt;&gt;"",1+MAX($A$2:A181),"")</f>
        <v/>
      </c>
      <c r="B182" s="62"/>
      <c r="C182" s="63"/>
      <c r="D182" s="176" t="s">
        <v>296</v>
      </c>
      <c r="E182" s="37"/>
      <c r="F182" s="64"/>
      <c r="G182" s="65"/>
      <c r="H182" s="37"/>
      <c r="I182" s="66"/>
      <c r="J182" s="242"/>
      <c r="K182" s="60"/>
      <c r="L182" s="60"/>
      <c r="M182" s="39"/>
      <c r="N182" s="41"/>
      <c r="O182" s="9"/>
      <c r="P182" s="318">
        <f t="shared" si="98"/>
        <v>0</v>
      </c>
      <c r="Q182" s="319">
        <f t="shared" si="99"/>
        <v>0</v>
      </c>
      <c r="R182" s="9"/>
    </row>
    <row r="183" spans="1:18" ht="47.25" x14ac:dyDescent="0.2">
      <c r="A183" s="67">
        <f>IF(G183&lt;&gt;"",1+MAX($A$2:A182),"")</f>
        <v>114</v>
      </c>
      <c r="B183" s="351" t="s">
        <v>261</v>
      </c>
      <c r="C183" s="149" t="s">
        <v>294</v>
      </c>
      <c r="D183" s="160" t="s">
        <v>426</v>
      </c>
      <c r="E183" s="37" t="s">
        <v>32</v>
      </c>
      <c r="F183" s="37">
        <v>17</v>
      </c>
      <c r="G183" s="36">
        <v>0</v>
      </c>
      <c r="H183" s="37">
        <f t="shared" ref="H183:H184" si="161">(G183*F183)+F183</f>
        <v>17</v>
      </c>
      <c r="I183" s="133">
        <v>2.5</v>
      </c>
      <c r="J183" s="240">
        <f t="shared" ref="J183:J184" si="162">J$142</f>
        <v>45</v>
      </c>
      <c r="K183" s="38">
        <f>I183*J183</f>
        <v>112.5</v>
      </c>
      <c r="L183" s="38">
        <f>42.63*1.67*4.33</f>
        <v>308.26179300000001</v>
      </c>
      <c r="M183" s="39">
        <f>+L183+K183</f>
        <v>420.76179300000001</v>
      </c>
      <c r="N183" s="41">
        <f t="shared" ref="N183:N184" si="163">H183*M183</f>
        <v>7152.9504809999999</v>
      </c>
      <c r="O183" s="9"/>
      <c r="P183" s="318">
        <f t="shared" si="98"/>
        <v>1912.5</v>
      </c>
      <c r="Q183" s="319">
        <f t="shared" si="99"/>
        <v>5240.4504809999999</v>
      </c>
      <c r="R183" s="9"/>
    </row>
    <row r="184" spans="1:18" ht="47.25" x14ac:dyDescent="0.2">
      <c r="A184" s="67">
        <f>IF(G184&lt;&gt;"",1+MAX($A$2:A183),"")</f>
        <v>115</v>
      </c>
      <c r="B184" s="352"/>
      <c r="C184" s="149" t="s">
        <v>295</v>
      </c>
      <c r="D184" s="160" t="s">
        <v>427</v>
      </c>
      <c r="E184" s="37" t="s">
        <v>32</v>
      </c>
      <c r="F184" s="37">
        <v>2</v>
      </c>
      <c r="G184" s="36">
        <v>0</v>
      </c>
      <c r="H184" s="37">
        <f t="shared" si="161"/>
        <v>2</v>
      </c>
      <c r="I184" s="133">
        <v>7.85</v>
      </c>
      <c r="J184" s="240">
        <f t="shared" si="162"/>
        <v>45</v>
      </c>
      <c r="K184" s="38">
        <f>I184*J184</f>
        <v>353.25</v>
      </c>
      <c r="L184" s="38">
        <f>42.63*12.58*7.33</f>
        <v>3930.971982</v>
      </c>
      <c r="M184" s="39">
        <f t="shared" ref="M184" si="164">+L184+K184</f>
        <v>4284.221982</v>
      </c>
      <c r="N184" s="41">
        <f t="shared" si="163"/>
        <v>8568.4439640000001</v>
      </c>
      <c r="O184" s="9"/>
      <c r="P184" s="318">
        <f t="shared" si="98"/>
        <v>706.5</v>
      </c>
      <c r="Q184" s="319">
        <f t="shared" si="99"/>
        <v>7861.9439640000001</v>
      </c>
      <c r="R184" s="9"/>
    </row>
    <row r="185" spans="1:18" s="1" customFormat="1" ht="15" customHeight="1" x14ac:dyDescent="0.2">
      <c r="A185" s="42" t="str">
        <f>IF(G185&lt;&gt;"",1+MAX($A$2:A184),"")</f>
        <v/>
      </c>
      <c r="B185" s="152"/>
      <c r="C185" s="152"/>
      <c r="D185" s="43"/>
      <c r="E185" s="43"/>
      <c r="F185" s="43"/>
      <c r="G185" s="43"/>
      <c r="H185" s="43"/>
      <c r="I185" s="256"/>
      <c r="J185" s="241"/>
      <c r="K185" s="44"/>
      <c r="L185" s="44"/>
      <c r="M185" s="45" t="s">
        <v>22</v>
      </c>
      <c r="N185" s="46">
        <f>SUM(N142:N184)</f>
        <v>97992.218795000023</v>
      </c>
      <c r="O185" s="4"/>
      <c r="P185" s="318">
        <f t="shared" si="98"/>
        <v>0</v>
      </c>
      <c r="Q185" s="319">
        <f t="shared" si="99"/>
        <v>0</v>
      </c>
      <c r="R185" s="4"/>
    </row>
    <row r="186" spans="1:18" ht="18" customHeight="1" x14ac:dyDescent="0.2">
      <c r="A186" s="72" t="str">
        <f>IF(G186&lt;&gt;"",1+MAX($A$2:A185),"")</f>
        <v/>
      </c>
      <c r="B186" s="153"/>
      <c r="C186" s="153"/>
      <c r="D186" s="73"/>
      <c r="E186" s="74"/>
      <c r="F186" s="285"/>
      <c r="G186" s="75"/>
      <c r="H186" s="285"/>
      <c r="I186" s="286"/>
      <c r="J186" s="287"/>
      <c r="K186" s="76"/>
      <c r="L186" s="76"/>
      <c r="M186" s="288"/>
      <c r="N186" s="77"/>
      <c r="O186" s="9"/>
      <c r="P186" s="318">
        <f t="shared" si="98"/>
        <v>0</v>
      </c>
      <c r="Q186" s="319">
        <f t="shared" si="99"/>
        <v>0</v>
      </c>
      <c r="R186" s="9"/>
    </row>
    <row r="187" spans="1:18" ht="18" customHeight="1" x14ac:dyDescent="0.2">
      <c r="A187" s="50" t="str">
        <f>IF(G187&lt;&gt;"",1+MAX($A$2:A186),"")</f>
        <v/>
      </c>
      <c r="B187" s="151"/>
      <c r="C187" s="151"/>
      <c r="D187" s="52"/>
      <c r="E187" s="53" t="s">
        <v>57</v>
      </c>
      <c r="F187" s="54"/>
      <c r="G187" s="54"/>
      <c r="H187" s="54"/>
      <c r="I187" s="167"/>
      <c r="J187" s="239"/>
      <c r="K187" s="54"/>
      <c r="L187" s="54"/>
      <c r="M187" s="55"/>
      <c r="N187" s="56"/>
      <c r="O187" s="9"/>
      <c r="P187" s="318">
        <f t="shared" si="98"/>
        <v>0</v>
      </c>
      <c r="Q187" s="319">
        <f t="shared" si="99"/>
        <v>0</v>
      </c>
      <c r="R187" s="9"/>
    </row>
    <row r="188" spans="1:18" ht="18" customHeight="1" x14ac:dyDescent="0.25">
      <c r="A188" s="84" t="str">
        <f>IF(G188&lt;&gt;"",1+MAX($A$2:A187),"")</f>
        <v/>
      </c>
      <c r="B188" s="62"/>
      <c r="C188" s="63"/>
      <c r="D188" s="226" t="s">
        <v>63</v>
      </c>
      <c r="E188" s="227"/>
      <c r="F188" s="64"/>
      <c r="G188" s="65"/>
      <c r="H188" s="37"/>
      <c r="I188" s="66"/>
      <c r="J188" s="242"/>
      <c r="K188" s="60"/>
      <c r="L188" s="60"/>
      <c r="M188" s="39"/>
      <c r="N188" s="41"/>
      <c r="O188" s="9"/>
      <c r="P188" s="318">
        <f t="shared" si="98"/>
        <v>0</v>
      </c>
      <c r="Q188" s="319">
        <f t="shared" si="99"/>
        <v>0</v>
      </c>
      <c r="R188" s="9"/>
    </row>
    <row r="189" spans="1:18" ht="18" customHeight="1" x14ac:dyDescent="0.25">
      <c r="A189" s="61" t="str">
        <f>IF(G189&lt;&gt;"",1+MAX($A$2:A188),"")</f>
        <v/>
      </c>
      <c r="B189" s="353" t="s">
        <v>134</v>
      </c>
      <c r="C189" s="356" t="s">
        <v>297</v>
      </c>
      <c r="D189" s="177" t="s">
        <v>298</v>
      </c>
      <c r="E189" s="65"/>
      <c r="F189" s="64"/>
      <c r="G189" s="65"/>
      <c r="H189" s="37"/>
      <c r="I189" s="66"/>
      <c r="J189" s="242"/>
      <c r="K189" s="60"/>
      <c r="L189" s="60"/>
      <c r="M189" s="39"/>
      <c r="N189" s="41"/>
      <c r="O189" s="9"/>
      <c r="P189" s="318">
        <f t="shared" si="98"/>
        <v>0</v>
      </c>
      <c r="Q189" s="319">
        <f t="shared" si="99"/>
        <v>0</v>
      </c>
      <c r="R189" s="9"/>
    </row>
    <row r="190" spans="1:18" ht="18.75" x14ac:dyDescent="0.3">
      <c r="A190" s="67">
        <f>IF(G190&lt;&gt;"",1+MAX($A$2:A189),"")</f>
        <v>116</v>
      </c>
      <c r="B190" s="354"/>
      <c r="C190" s="357"/>
      <c r="D190" s="69" t="s">
        <v>299</v>
      </c>
      <c r="E190" s="218" t="s">
        <v>34</v>
      </c>
      <c r="F190" s="94">
        <f>299+((0.75+0.75)*9.5)</f>
        <v>313.25</v>
      </c>
      <c r="G190" s="36">
        <v>0.05</v>
      </c>
      <c r="H190" s="37">
        <f>(G190*F190)+F190</f>
        <v>328.91250000000002</v>
      </c>
      <c r="I190" s="66"/>
      <c r="J190" s="242"/>
      <c r="K190" s="38"/>
      <c r="L190" s="38"/>
      <c r="M190" s="39"/>
      <c r="N190" s="41"/>
      <c r="O190" s="9"/>
      <c r="P190" s="318">
        <f t="shared" si="98"/>
        <v>0</v>
      </c>
      <c r="Q190" s="319">
        <f t="shared" si="99"/>
        <v>0</v>
      </c>
      <c r="R190" s="9"/>
    </row>
    <row r="191" spans="1:18" ht="15.75" x14ac:dyDescent="0.2">
      <c r="A191" s="67">
        <f>IF(G191&lt;&gt;"",1+MAX($A$2:A190),"")</f>
        <v>117</v>
      </c>
      <c r="B191" s="354"/>
      <c r="C191" s="357"/>
      <c r="D191" s="27" t="s">
        <v>300</v>
      </c>
      <c r="E191" s="218" t="s">
        <v>7</v>
      </c>
      <c r="F191" s="37">
        <f>(122*9.33)+(118*14)+(61*11.25)</f>
        <v>3476.51</v>
      </c>
      <c r="G191" s="36">
        <v>0.05</v>
      </c>
      <c r="H191" s="37">
        <f>(G191*F191)+F191</f>
        <v>3650.3355000000001</v>
      </c>
      <c r="I191" s="133"/>
      <c r="J191" s="240"/>
      <c r="K191" s="38"/>
      <c r="L191" s="38"/>
      <c r="M191" s="39"/>
      <c r="N191" s="41"/>
      <c r="O191" s="9"/>
      <c r="P191" s="318">
        <f t="shared" si="98"/>
        <v>0</v>
      </c>
      <c r="Q191" s="319">
        <f t="shared" si="99"/>
        <v>0</v>
      </c>
      <c r="R191" s="9"/>
    </row>
    <row r="192" spans="1:18" ht="15.75" x14ac:dyDescent="0.2">
      <c r="A192" s="67">
        <f>IF(G192&lt;&gt;"",1+MAX($A$2:A191),"")</f>
        <v>118</v>
      </c>
      <c r="B192" s="354"/>
      <c r="C192" s="357"/>
      <c r="D192" s="137" t="s">
        <v>98</v>
      </c>
      <c r="E192" s="218" t="s">
        <v>32</v>
      </c>
      <c r="F192" s="37">
        <f>ROUNDUP(H191/32,0)</f>
        <v>115</v>
      </c>
      <c r="G192" s="36">
        <v>0</v>
      </c>
      <c r="H192" s="37">
        <f t="shared" ref="H192:H201" si="165">(G192*F192)+F192</f>
        <v>115</v>
      </c>
      <c r="I192" s="133">
        <v>0.28000000000000003</v>
      </c>
      <c r="J192" s="240">
        <v>55</v>
      </c>
      <c r="K192" s="38">
        <f t="shared" ref="K192:K201" si="166">I192*J192</f>
        <v>15.400000000000002</v>
      </c>
      <c r="L192" s="38">
        <v>16.850000000000001</v>
      </c>
      <c r="M192" s="39">
        <f t="shared" ref="M192:M201" si="167">+L192+K192</f>
        <v>32.25</v>
      </c>
      <c r="N192" s="41">
        <f t="shared" ref="N192:N201" si="168">H192*M192</f>
        <v>3708.75</v>
      </c>
      <c r="O192" s="9"/>
      <c r="P192" s="318">
        <f t="shared" si="98"/>
        <v>1771.0000000000002</v>
      </c>
      <c r="Q192" s="319">
        <f t="shared" si="99"/>
        <v>1937.7500000000002</v>
      </c>
      <c r="R192" s="9"/>
    </row>
    <row r="193" spans="1:18" ht="15.75" x14ac:dyDescent="0.2">
      <c r="A193" s="67">
        <f>IF(G193&lt;&gt;"",1+MAX($A$2:A192),"")</f>
        <v>119</v>
      </c>
      <c r="B193" s="354"/>
      <c r="C193" s="357"/>
      <c r="D193" s="137" t="s">
        <v>99</v>
      </c>
      <c r="E193" s="218" t="s">
        <v>34</v>
      </c>
      <c r="F193" s="37">
        <f>F191/32*16</f>
        <v>1738.2550000000001</v>
      </c>
      <c r="G193" s="36">
        <v>0.05</v>
      </c>
      <c r="H193" s="37">
        <f t="shared" si="165"/>
        <v>1825.1677500000001</v>
      </c>
      <c r="I193" s="133">
        <v>8.0000000000000002E-3</v>
      </c>
      <c r="J193" s="240">
        <f>J$192</f>
        <v>55</v>
      </c>
      <c r="K193" s="38">
        <f t="shared" si="166"/>
        <v>0.44</v>
      </c>
      <c r="L193" s="38">
        <v>0.03</v>
      </c>
      <c r="M193" s="39">
        <f t="shared" si="167"/>
        <v>0.47</v>
      </c>
      <c r="N193" s="41">
        <f t="shared" si="168"/>
        <v>857.82884249999995</v>
      </c>
      <c r="O193" s="9"/>
      <c r="P193" s="318">
        <f t="shared" si="98"/>
        <v>803.07380999999998</v>
      </c>
      <c r="Q193" s="319">
        <f t="shared" si="99"/>
        <v>54.755032499999999</v>
      </c>
      <c r="R193" s="9"/>
    </row>
    <row r="194" spans="1:18" ht="15.75" x14ac:dyDescent="0.2">
      <c r="A194" s="67">
        <f>IF(G194&lt;&gt;"",1+MAX($A$2:A193),"")</f>
        <v>120</v>
      </c>
      <c r="B194" s="354"/>
      <c r="C194" s="357"/>
      <c r="D194" s="137" t="s">
        <v>100</v>
      </c>
      <c r="E194" s="218" t="s">
        <v>102</v>
      </c>
      <c r="F194" s="37">
        <f>0.052*F191</f>
        <v>180.77852000000001</v>
      </c>
      <c r="G194" s="36">
        <v>0.05</v>
      </c>
      <c r="H194" s="37">
        <f t="shared" si="165"/>
        <v>189.81744600000002</v>
      </c>
      <c r="I194" s="133">
        <v>0.25</v>
      </c>
      <c r="J194" s="240">
        <f t="shared" ref="J194:J201" si="169">J$192</f>
        <v>55</v>
      </c>
      <c r="K194" s="38">
        <f t="shared" si="166"/>
        <v>13.75</v>
      </c>
      <c r="L194" s="38">
        <v>1.52</v>
      </c>
      <c r="M194" s="39">
        <f t="shared" si="167"/>
        <v>15.27</v>
      </c>
      <c r="N194" s="41">
        <f t="shared" si="168"/>
        <v>2898.5124004200002</v>
      </c>
      <c r="O194" s="9"/>
      <c r="P194" s="318">
        <f t="shared" si="98"/>
        <v>2609.9898825</v>
      </c>
      <c r="Q194" s="319">
        <f t="shared" si="99"/>
        <v>288.52251792000004</v>
      </c>
      <c r="R194" s="9"/>
    </row>
    <row r="195" spans="1:18" ht="15.75" x14ac:dyDescent="0.2">
      <c r="A195" s="67">
        <f>IF(G195&lt;&gt;"",1+MAX($A$2:A194),"")</f>
        <v>121</v>
      </c>
      <c r="B195" s="354"/>
      <c r="C195" s="357"/>
      <c r="D195" s="137" t="s">
        <v>101</v>
      </c>
      <c r="E195" s="218" t="s">
        <v>32</v>
      </c>
      <c r="F195" s="37">
        <f>F192*48</f>
        <v>5520</v>
      </c>
      <c r="G195" s="36">
        <v>0</v>
      </c>
      <c r="H195" s="37">
        <f t="shared" si="165"/>
        <v>5520</v>
      </c>
      <c r="I195" s="133">
        <v>0</v>
      </c>
      <c r="J195" s="240">
        <f t="shared" si="169"/>
        <v>55</v>
      </c>
      <c r="K195" s="38">
        <f t="shared" si="166"/>
        <v>0</v>
      </c>
      <c r="L195" s="38">
        <v>0.05</v>
      </c>
      <c r="M195" s="39">
        <f t="shared" si="167"/>
        <v>0.05</v>
      </c>
      <c r="N195" s="41">
        <f t="shared" si="168"/>
        <v>276</v>
      </c>
      <c r="O195" s="9"/>
      <c r="P195" s="318">
        <f t="shared" si="98"/>
        <v>0</v>
      </c>
      <c r="Q195" s="319">
        <f t="shared" si="99"/>
        <v>276</v>
      </c>
      <c r="R195" s="9"/>
    </row>
    <row r="196" spans="1:18" ht="15.75" x14ac:dyDescent="0.2">
      <c r="A196" s="67">
        <f>IF(G196&lt;&gt;"",1+MAX($A$2:A195),"")</f>
        <v>122</v>
      </c>
      <c r="B196" s="354"/>
      <c r="C196" s="357"/>
      <c r="D196" s="27" t="s">
        <v>301</v>
      </c>
      <c r="E196" s="35" t="s">
        <v>34</v>
      </c>
      <c r="F196" s="37">
        <f>((122*9.33)/1.167)+((117*14)/1.167)+((61*11.25)/1.167)</f>
        <v>2967.0179948586119</v>
      </c>
      <c r="G196" s="36">
        <v>0.05</v>
      </c>
      <c r="H196" s="37">
        <f t="shared" si="165"/>
        <v>3115.3688946015427</v>
      </c>
      <c r="I196" s="133">
        <v>1.2E-2</v>
      </c>
      <c r="J196" s="240">
        <f t="shared" si="169"/>
        <v>55</v>
      </c>
      <c r="K196" s="38">
        <f t="shared" si="166"/>
        <v>0.66</v>
      </c>
      <c r="L196" s="38">
        <v>1.45</v>
      </c>
      <c r="M196" s="39">
        <f t="shared" si="167"/>
        <v>2.11</v>
      </c>
      <c r="N196" s="41">
        <f t="shared" si="168"/>
        <v>6573.4283676092546</v>
      </c>
      <c r="O196" s="9"/>
      <c r="P196" s="318">
        <f t="shared" si="98"/>
        <v>2056.1434704370181</v>
      </c>
      <c r="Q196" s="319">
        <f t="shared" si="99"/>
        <v>4517.2848971722369</v>
      </c>
      <c r="R196" s="9"/>
    </row>
    <row r="197" spans="1:18" ht="15.75" x14ac:dyDescent="0.2">
      <c r="A197" s="67">
        <f>IF(G197&lt;&gt;"",1+MAX($A$2:A196),"")</f>
        <v>123</v>
      </c>
      <c r="B197" s="354"/>
      <c r="C197" s="357"/>
      <c r="D197" s="27" t="s">
        <v>302</v>
      </c>
      <c r="E197" s="35" t="s">
        <v>34</v>
      </c>
      <c r="F197" s="37">
        <f>299+(0.75+0.75)</f>
        <v>300.5</v>
      </c>
      <c r="G197" s="36">
        <v>0.05</v>
      </c>
      <c r="H197" s="37">
        <f t="shared" si="165"/>
        <v>315.52499999999998</v>
      </c>
      <c r="I197" s="133">
        <f>I$196</f>
        <v>1.2E-2</v>
      </c>
      <c r="J197" s="240">
        <f t="shared" si="169"/>
        <v>55</v>
      </c>
      <c r="K197" s="38">
        <f t="shared" si="166"/>
        <v>0.66</v>
      </c>
      <c r="L197" s="38">
        <f>L$196</f>
        <v>1.45</v>
      </c>
      <c r="M197" s="39">
        <f t="shared" si="167"/>
        <v>2.11</v>
      </c>
      <c r="N197" s="41">
        <f t="shared" si="168"/>
        <v>665.75774999999987</v>
      </c>
      <c r="O197" s="9"/>
      <c r="P197" s="318">
        <f t="shared" si="98"/>
        <v>208.2465</v>
      </c>
      <c r="Q197" s="319">
        <f t="shared" si="99"/>
        <v>457.51124999999996</v>
      </c>
      <c r="R197" s="9"/>
    </row>
    <row r="198" spans="1:18" ht="15.75" x14ac:dyDescent="0.2">
      <c r="A198" s="67">
        <f>IF(G198&lt;&gt;"",1+MAX($A$2:A197),"")</f>
        <v>124</v>
      </c>
      <c r="B198" s="354"/>
      <c r="C198" s="357"/>
      <c r="D198" s="27" t="s">
        <v>303</v>
      </c>
      <c r="E198" s="35" t="s">
        <v>34</v>
      </c>
      <c r="F198" s="37">
        <v>301</v>
      </c>
      <c r="G198" s="36">
        <v>0.05</v>
      </c>
      <c r="H198" s="37">
        <f t="shared" si="165"/>
        <v>316.05</v>
      </c>
      <c r="I198" s="133">
        <f>I$196</f>
        <v>1.2E-2</v>
      </c>
      <c r="J198" s="240">
        <f t="shared" si="169"/>
        <v>55</v>
      </c>
      <c r="K198" s="38">
        <f t="shared" ref="K198" si="170">I198*J198</f>
        <v>0.66</v>
      </c>
      <c r="L198" s="38">
        <f>L$196</f>
        <v>1.45</v>
      </c>
      <c r="M198" s="39">
        <f t="shared" si="167"/>
        <v>2.11</v>
      </c>
      <c r="N198" s="41">
        <f t="shared" si="168"/>
        <v>666.8655</v>
      </c>
      <c r="O198" s="9"/>
      <c r="P198" s="318">
        <f t="shared" si="98"/>
        <v>208.59300000000002</v>
      </c>
      <c r="Q198" s="319">
        <f t="shared" si="99"/>
        <v>458.27249999999998</v>
      </c>
      <c r="R198" s="9"/>
    </row>
    <row r="199" spans="1:18" ht="15.75" x14ac:dyDescent="0.2">
      <c r="A199" s="67">
        <f>IF(G199&lt;&gt;"",1+MAX($A$2:A198),"")</f>
        <v>125</v>
      </c>
      <c r="B199" s="354"/>
      <c r="C199" s="357"/>
      <c r="D199" s="27" t="s">
        <v>304</v>
      </c>
      <c r="E199" s="35" t="s">
        <v>7</v>
      </c>
      <c r="F199" s="37">
        <f>(122*9.33)+(118*14)+(61*11.25)</f>
        <v>3476.51</v>
      </c>
      <c r="G199" s="36">
        <v>0.05</v>
      </c>
      <c r="H199" s="37">
        <f t="shared" si="165"/>
        <v>3650.3355000000001</v>
      </c>
      <c r="I199" s="133">
        <v>0.01</v>
      </c>
      <c r="J199" s="240">
        <f t="shared" si="169"/>
        <v>55</v>
      </c>
      <c r="K199" s="38">
        <f t="shared" si="166"/>
        <v>0.55000000000000004</v>
      </c>
      <c r="L199" s="38">
        <v>1.32</v>
      </c>
      <c r="M199" s="39">
        <f t="shared" si="167"/>
        <v>1.87</v>
      </c>
      <c r="N199" s="41">
        <f t="shared" si="168"/>
        <v>6826.1273850000007</v>
      </c>
      <c r="O199" s="9"/>
      <c r="P199" s="318">
        <f t="shared" si="98"/>
        <v>2007.6845250000003</v>
      </c>
      <c r="Q199" s="319">
        <f t="shared" si="99"/>
        <v>4818.4428600000001</v>
      </c>
      <c r="R199" s="9"/>
    </row>
    <row r="200" spans="1:18" ht="15.75" x14ac:dyDescent="0.2">
      <c r="A200" s="67">
        <f>IF(G200&lt;&gt;"",1+MAX($A$2:A199),"")</f>
        <v>126</v>
      </c>
      <c r="B200" s="354"/>
      <c r="C200" s="357"/>
      <c r="D200" s="27" t="s">
        <v>305</v>
      </c>
      <c r="E200" s="217" t="s">
        <v>7</v>
      </c>
      <c r="F200" s="37">
        <f>(122*9.33)+(118*14)+(61*11.25)</f>
        <v>3476.51</v>
      </c>
      <c r="G200" s="36">
        <v>0.05</v>
      </c>
      <c r="H200" s="37">
        <f t="shared" si="165"/>
        <v>3650.3355000000001</v>
      </c>
      <c r="I200" s="133">
        <v>5.0000000000000001E-3</v>
      </c>
      <c r="J200" s="240">
        <f t="shared" si="169"/>
        <v>55</v>
      </c>
      <c r="K200" s="38">
        <f t="shared" si="166"/>
        <v>0.27500000000000002</v>
      </c>
      <c r="L200" s="38">
        <v>0.32</v>
      </c>
      <c r="M200" s="39">
        <f t="shared" si="167"/>
        <v>0.59499999999999997</v>
      </c>
      <c r="N200" s="41">
        <f t="shared" si="168"/>
        <v>2171.9496224999998</v>
      </c>
      <c r="O200" s="9"/>
      <c r="P200" s="318">
        <f t="shared" si="98"/>
        <v>1003.8422625000002</v>
      </c>
      <c r="Q200" s="319">
        <f t="shared" si="99"/>
        <v>1168.10736</v>
      </c>
      <c r="R200" s="9"/>
    </row>
    <row r="201" spans="1:18" ht="15.75" x14ac:dyDescent="0.2">
      <c r="A201" s="67">
        <f>IF(G201&lt;&gt;"",1+MAX($A$2:A200),"")</f>
        <v>127</v>
      </c>
      <c r="B201" s="354"/>
      <c r="C201" s="358"/>
      <c r="D201" s="27" t="s">
        <v>306</v>
      </c>
      <c r="E201" s="217" t="s">
        <v>7</v>
      </c>
      <c r="F201" s="37">
        <f>301*2</f>
        <v>602</v>
      </c>
      <c r="G201" s="36">
        <v>0.05</v>
      </c>
      <c r="H201" s="37">
        <f t="shared" si="165"/>
        <v>632.1</v>
      </c>
      <c r="I201" s="133">
        <v>0.01</v>
      </c>
      <c r="J201" s="240">
        <f t="shared" si="169"/>
        <v>55</v>
      </c>
      <c r="K201" s="38">
        <f t="shared" si="166"/>
        <v>0.55000000000000004</v>
      </c>
      <c r="L201" s="38">
        <v>0.4</v>
      </c>
      <c r="M201" s="39">
        <f t="shared" si="167"/>
        <v>0.95000000000000007</v>
      </c>
      <c r="N201" s="41">
        <f t="shared" si="168"/>
        <v>600.49500000000012</v>
      </c>
      <c r="O201" s="9"/>
      <c r="P201" s="318">
        <f t="shared" si="98"/>
        <v>347.65500000000003</v>
      </c>
      <c r="Q201" s="319">
        <f t="shared" si="99"/>
        <v>252.84000000000003</v>
      </c>
      <c r="R201" s="9"/>
    </row>
    <row r="202" spans="1:18" ht="18" customHeight="1" x14ac:dyDescent="0.25">
      <c r="A202" s="61" t="str">
        <f>IF(G202&lt;&gt;"",1+MAX($A$2:A201),"")</f>
        <v/>
      </c>
      <c r="B202" s="354"/>
      <c r="C202" s="356" t="s">
        <v>307</v>
      </c>
      <c r="D202" s="177" t="s">
        <v>308</v>
      </c>
      <c r="E202" s="65"/>
      <c r="F202" s="64"/>
      <c r="G202" s="65"/>
      <c r="H202" s="37"/>
      <c r="I202" s="66"/>
      <c r="J202" s="242"/>
      <c r="K202" s="60"/>
      <c r="L202" s="60"/>
      <c r="M202" s="39"/>
      <c r="N202" s="41"/>
      <c r="O202" s="9"/>
      <c r="P202" s="318">
        <f t="shared" si="98"/>
        <v>0</v>
      </c>
      <c r="Q202" s="319">
        <f t="shared" si="99"/>
        <v>0</v>
      </c>
      <c r="R202" s="9"/>
    </row>
    <row r="203" spans="1:18" ht="18.75" x14ac:dyDescent="0.3">
      <c r="A203" s="67">
        <f>IF(G203&lt;&gt;"",1+MAX($A$2:A202),"")</f>
        <v>128</v>
      </c>
      <c r="B203" s="354"/>
      <c r="C203" s="357"/>
      <c r="D203" s="69" t="s">
        <v>309</v>
      </c>
      <c r="E203" s="218" t="s">
        <v>34</v>
      </c>
      <c r="F203" s="94">
        <v>99</v>
      </c>
      <c r="G203" s="36">
        <v>0.05</v>
      </c>
      <c r="H203" s="37">
        <f>(G203*F203)+F203</f>
        <v>103.95</v>
      </c>
      <c r="I203" s="66"/>
      <c r="J203" s="242"/>
      <c r="K203" s="38"/>
      <c r="L203" s="38"/>
      <c r="M203" s="39"/>
      <c r="N203" s="41"/>
      <c r="O203" s="9"/>
      <c r="P203" s="318">
        <f t="shared" si="98"/>
        <v>0</v>
      </c>
      <c r="Q203" s="319">
        <f t="shared" si="99"/>
        <v>0</v>
      </c>
      <c r="R203" s="9"/>
    </row>
    <row r="204" spans="1:18" ht="15.75" x14ac:dyDescent="0.2">
      <c r="A204" s="67">
        <f>IF(G204&lt;&gt;"",1+MAX($A$2:A203),"")</f>
        <v>129</v>
      </c>
      <c r="B204" s="354"/>
      <c r="C204" s="357"/>
      <c r="D204" s="27" t="s">
        <v>310</v>
      </c>
      <c r="E204" s="218" t="s">
        <v>7</v>
      </c>
      <c r="F204" s="37">
        <f>((19*11.67)+(30*10.18)+(13*11)+(38*12.76))*2</f>
        <v>2310.02</v>
      </c>
      <c r="G204" s="36">
        <v>0.05</v>
      </c>
      <c r="H204" s="37">
        <f>(G204*F204)+F204</f>
        <v>2425.5210000000002</v>
      </c>
      <c r="I204" s="133"/>
      <c r="J204" s="240"/>
      <c r="K204" s="38"/>
      <c r="L204" s="38"/>
      <c r="M204" s="39"/>
      <c r="N204" s="41"/>
      <c r="O204" s="9"/>
      <c r="P204" s="318">
        <f t="shared" si="98"/>
        <v>0</v>
      </c>
      <c r="Q204" s="319">
        <f t="shared" si="99"/>
        <v>0</v>
      </c>
      <c r="R204" s="9"/>
    </row>
    <row r="205" spans="1:18" ht="15.75" x14ac:dyDescent="0.2">
      <c r="A205" s="67">
        <f>IF(G205&lt;&gt;"",1+MAX($A$2:A204),"")</f>
        <v>130</v>
      </c>
      <c r="B205" s="354"/>
      <c r="C205" s="357"/>
      <c r="D205" s="137" t="s">
        <v>98</v>
      </c>
      <c r="E205" s="218" t="s">
        <v>32</v>
      </c>
      <c r="F205" s="37">
        <f>ROUNDUP(H204/32,0)</f>
        <v>76</v>
      </c>
      <c r="G205" s="36">
        <v>0</v>
      </c>
      <c r="H205" s="37">
        <f t="shared" ref="H205:H213" si="171">(G205*F205)+F205</f>
        <v>76</v>
      </c>
      <c r="I205" s="133">
        <v>0.28000000000000003</v>
      </c>
      <c r="J205" s="240">
        <f t="shared" ref="J205:J213" si="172">J$192</f>
        <v>55</v>
      </c>
      <c r="K205" s="38">
        <f t="shared" ref="K205:K213" si="173">I205*J205</f>
        <v>15.400000000000002</v>
      </c>
      <c r="L205" s="38">
        <v>16.850000000000001</v>
      </c>
      <c r="M205" s="39">
        <f t="shared" ref="M205:M213" si="174">+L205+K205</f>
        <v>32.25</v>
      </c>
      <c r="N205" s="41">
        <f t="shared" ref="N205:N213" si="175">H205*M205</f>
        <v>2451</v>
      </c>
      <c r="O205" s="9"/>
      <c r="P205" s="318">
        <f t="shared" si="98"/>
        <v>1170.4000000000001</v>
      </c>
      <c r="Q205" s="319">
        <f t="shared" si="99"/>
        <v>1280.6000000000001</v>
      </c>
      <c r="R205" s="9"/>
    </row>
    <row r="206" spans="1:18" ht="15.75" x14ac:dyDescent="0.2">
      <c r="A206" s="67">
        <f>IF(G206&lt;&gt;"",1+MAX($A$2:A205),"")</f>
        <v>131</v>
      </c>
      <c r="B206" s="354"/>
      <c r="C206" s="357"/>
      <c r="D206" s="137" t="s">
        <v>99</v>
      </c>
      <c r="E206" s="218" t="s">
        <v>34</v>
      </c>
      <c r="F206" s="37">
        <f>F204/32*16</f>
        <v>1155.01</v>
      </c>
      <c r="G206" s="36">
        <v>0.05</v>
      </c>
      <c r="H206" s="37">
        <f t="shared" si="171"/>
        <v>1212.7605000000001</v>
      </c>
      <c r="I206" s="133">
        <v>8.0000000000000002E-3</v>
      </c>
      <c r="J206" s="240">
        <f>J$192</f>
        <v>55</v>
      </c>
      <c r="K206" s="38">
        <f t="shared" si="173"/>
        <v>0.44</v>
      </c>
      <c r="L206" s="38">
        <v>0.03</v>
      </c>
      <c r="M206" s="39">
        <f t="shared" si="174"/>
        <v>0.47</v>
      </c>
      <c r="N206" s="41">
        <f t="shared" si="175"/>
        <v>569.997435</v>
      </c>
      <c r="O206" s="9"/>
      <c r="P206" s="318">
        <f t="shared" si="98"/>
        <v>533.61462000000006</v>
      </c>
      <c r="Q206" s="319">
        <f t="shared" si="99"/>
        <v>36.382815000000001</v>
      </c>
      <c r="R206" s="9"/>
    </row>
    <row r="207" spans="1:18" ht="15.75" x14ac:dyDescent="0.2">
      <c r="A207" s="67">
        <f>IF(G207&lt;&gt;"",1+MAX($A$2:A206),"")</f>
        <v>132</v>
      </c>
      <c r="B207" s="354"/>
      <c r="C207" s="357"/>
      <c r="D207" s="137" t="s">
        <v>100</v>
      </c>
      <c r="E207" s="218" t="s">
        <v>102</v>
      </c>
      <c r="F207" s="37">
        <f>0.052*F204</f>
        <v>120.12103999999999</v>
      </c>
      <c r="G207" s="36">
        <v>0.05</v>
      </c>
      <c r="H207" s="37">
        <f t="shared" si="171"/>
        <v>126.12709199999999</v>
      </c>
      <c r="I207" s="133">
        <v>0.25</v>
      </c>
      <c r="J207" s="240">
        <f t="shared" ref="J207:J211" si="176">J$192</f>
        <v>55</v>
      </c>
      <c r="K207" s="38">
        <f t="shared" si="173"/>
        <v>13.75</v>
      </c>
      <c r="L207" s="38">
        <v>1.52</v>
      </c>
      <c r="M207" s="39">
        <f t="shared" si="174"/>
        <v>15.27</v>
      </c>
      <c r="N207" s="41">
        <f t="shared" si="175"/>
        <v>1925.9606948399999</v>
      </c>
      <c r="O207" s="9"/>
      <c r="P207" s="318">
        <f t="shared" si="98"/>
        <v>1734.2475149999998</v>
      </c>
      <c r="Q207" s="319">
        <f t="shared" si="99"/>
        <v>191.71317983999998</v>
      </c>
      <c r="R207" s="9"/>
    </row>
    <row r="208" spans="1:18" ht="15.75" x14ac:dyDescent="0.2">
      <c r="A208" s="67">
        <f>IF(G208&lt;&gt;"",1+MAX($A$2:A207),"")</f>
        <v>133</v>
      </c>
      <c r="B208" s="354"/>
      <c r="C208" s="357"/>
      <c r="D208" s="137" t="s">
        <v>101</v>
      </c>
      <c r="E208" s="218" t="s">
        <v>32</v>
      </c>
      <c r="F208" s="37">
        <f>F205*48</f>
        <v>3648</v>
      </c>
      <c r="G208" s="36">
        <v>0</v>
      </c>
      <c r="H208" s="37">
        <f t="shared" si="171"/>
        <v>3648</v>
      </c>
      <c r="I208" s="133">
        <v>0</v>
      </c>
      <c r="J208" s="240">
        <f t="shared" si="176"/>
        <v>55</v>
      </c>
      <c r="K208" s="38">
        <f t="shared" si="173"/>
        <v>0</v>
      </c>
      <c r="L208" s="38">
        <v>0.05</v>
      </c>
      <c r="M208" s="39">
        <f t="shared" si="174"/>
        <v>0.05</v>
      </c>
      <c r="N208" s="41">
        <f t="shared" si="175"/>
        <v>182.4</v>
      </c>
      <c r="O208" s="9"/>
      <c r="P208" s="318">
        <f t="shared" si="98"/>
        <v>0</v>
      </c>
      <c r="Q208" s="319">
        <f t="shared" si="99"/>
        <v>182.4</v>
      </c>
      <c r="R208" s="9"/>
    </row>
    <row r="209" spans="1:18" ht="15.75" x14ac:dyDescent="0.2">
      <c r="A209" s="67">
        <f>IF(G209&lt;&gt;"",1+MAX($A$2:A208),"")</f>
        <v>134</v>
      </c>
      <c r="B209" s="354"/>
      <c r="C209" s="357"/>
      <c r="D209" s="27" t="s">
        <v>301</v>
      </c>
      <c r="E209" s="35" t="s">
        <v>34</v>
      </c>
      <c r="F209" s="37">
        <f>((19*11.67)/1.167)+((30*10.18)/1.167)+((13*11)/1.167)+((38*12.76)/1.167)</f>
        <v>989.72579263067689</v>
      </c>
      <c r="G209" s="36">
        <v>0.05</v>
      </c>
      <c r="H209" s="37">
        <f t="shared" si="171"/>
        <v>1039.2120822622107</v>
      </c>
      <c r="I209" s="133">
        <f t="shared" ref="I209:I211" si="177">I$196</f>
        <v>1.2E-2</v>
      </c>
      <c r="J209" s="240">
        <f t="shared" si="176"/>
        <v>55</v>
      </c>
      <c r="K209" s="38">
        <f t="shared" si="173"/>
        <v>0.66</v>
      </c>
      <c r="L209" s="38">
        <f t="shared" ref="L209:L211" si="178">L$196</f>
        <v>1.45</v>
      </c>
      <c r="M209" s="39">
        <f t="shared" si="174"/>
        <v>2.11</v>
      </c>
      <c r="N209" s="41">
        <f t="shared" si="175"/>
        <v>2192.7374935732646</v>
      </c>
      <c r="O209" s="9"/>
      <c r="P209" s="318">
        <f t="shared" si="98"/>
        <v>685.87997429305915</v>
      </c>
      <c r="Q209" s="319">
        <f t="shared" si="99"/>
        <v>1506.8575192802055</v>
      </c>
      <c r="R209" s="9"/>
    </row>
    <row r="210" spans="1:18" ht="15.75" x14ac:dyDescent="0.2">
      <c r="A210" s="67">
        <f>IF(G210&lt;&gt;"",1+MAX($A$2:A209),"")</f>
        <v>135</v>
      </c>
      <c r="B210" s="354"/>
      <c r="C210" s="357"/>
      <c r="D210" s="27" t="s">
        <v>302</v>
      </c>
      <c r="E210" s="35" t="s">
        <v>34</v>
      </c>
      <c r="F210" s="37">
        <v>99</v>
      </c>
      <c r="G210" s="36">
        <v>0.05</v>
      </c>
      <c r="H210" s="37">
        <f t="shared" si="171"/>
        <v>103.95</v>
      </c>
      <c r="I210" s="133">
        <f t="shared" si="177"/>
        <v>1.2E-2</v>
      </c>
      <c r="J210" s="240">
        <f t="shared" si="176"/>
        <v>55</v>
      </c>
      <c r="K210" s="38">
        <f t="shared" si="173"/>
        <v>0.66</v>
      </c>
      <c r="L210" s="38">
        <f t="shared" si="178"/>
        <v>1.45</v>
      </c>
      <c r="M210" s="39">
        <f t="shared" si="174"/>
        <v>2.11</v>
      </c>
      <c r="N210" s="41">
        <f t="shared" si="175"/>
        <v>219.33449999999999</v>
      </c>
      <c r="O210" s="9"/>
      <c r="P210" s="318">
        <f t="shared" si="98"/>
        <v>68.606999999999999</v>
      </c>
      <c r="Q210" s="319">
        <f t="shared" si="99"/>
        <v>150.72749999999999</v>
      </c>
      <c r="R210" s="9"/>
    </row>
    <row r="211" spans="1:18" ht="15.75" x14ac:dyDescent="0.2">
      <c r="A211" s="67">
        <f>IF(G211&lt;&gt;"",1+MAX($A$2:A210),"")</f>
        <v>136</v>
      </c>
      <c r="B211" s="354"/>
      <c r="C211" s="357"/>
      <c r="D211" s="27" t="s">
        <v>303</v>
      </c>
      <c r="E211" s="35" t="s">
        <v>34</v>
      </c>
      <c r="F211" s="37">
        <v>99</v>
      </c>
      <c r="G211" s="36">
        <v>0.05</v>
      </c>
      <c r="H211" s="37">
        <f t="shared" si="171"/>
        <v>103.95</v>
      </c>
      <c r="I211" s="133">
        <f t="shared" si="177"/>
        <v>1.2E-2</v>
      </c>
      <c r="J211" s="240">
        <f t="shared" si="176"/>
        <v>55</v>
      </c>
      <c r="K211" s="38">
        <f t="shared" si="173"/>
        <v>0.66</v>
      </c>
      <c r="L211" s="38">
        <f t="shared" si="178"/>
        <v>1.45</v>
      </c>
      <c r="M211" s="39">
        <f t="shared" si="174"/>
        <v>2.11</v>
      </c>
      <c r="N211" s="41">
        <f t="shared" si="175"/>
        <v>219.33449999999999</v>
      </c>
      <c r="O211" s="9"/>
      <c r="P211" s="318">
        <f t="shared" si="98"/>
        <v>68.606999999999999</v>
      </c>
      <c r="Q211" s="319">
        <f t="shared" si="99"/>
        <v>150.72749999999999</v>
      </c>
      <c r="R211" s="9"/>
    </row>
    <row r="212" spans="1:18" ht="15.75" x14ac:dyDescent="0.2">
      <c r="A212" s="67">
        <f>IF(G212&lt;&gt;"",1+MAX($A$2:A211),"")</f>
        <v>137</v>
      </c>
      <c r="B212" s="354"/>
      <c r="C212" s="357"/>
      <c r="D212" s="27" t="s">
        <v>311</v>
      </c>
      <c r="E212" s="35" t="s">
        <v>7</v>
      </c>
      <c r="F212" s="37">
        <f>(19*11.67)+(30*10.18)+(13*11)+(38*12.76)</f>
        <v>1155.01</v>
      </c>
      <c r="G212" s="36">
        <v>0.05</v>
      </c>
      <c r="H212" s="37">
        <f t="shared" si="171"/>
        <v>1212.7605000000001</v>
      </c>
      <c r="I212" s="133">
        <v>1.2999999999999999E-2</v>
      </c>
      <c r="J212" s="240">
        <f t="shared" si="172"/>
        <v>55</v>
      </c>
      <c r="K212" s="38">
        <f t="shared" si="173"/>
        <v>0.71499999999999997</v>
      </c>
      <c r="L212" s="38">
        <v>0.92</v>
      </c>
      <c r="M212" s="39">
        <f t="shared" si="174"/>
        <v>1.635</v>
      </c>
      <c r="N212" s="41">
        <f t="shared" si="175"/>
        <v>1982.8634175000002</v>
      </c>
      <c r="O212" s="9"/>
      <c r="P212" s="318">
        <f t="shared" si="98"/>
        <v>867.12375750000001</v>
      </c>
      <c r="Q212" s="319">
        <f t="shared" si="99"/>
        <v>1115.7396600000002</v>
      </c>
      <c r="R212" s="9"/>
    </row>
    <row r="213" spans="1:18" ht="15.75" x14ac:dyDescent="0.2">
      <c r="A213" s="67">
        <f>IF(G213&lt;&gt;"",1+MAX($A$2:A212),"")</f>
        <v>138</v>
      </c>
      <c r="B213" s="354"/>
      <c r="C213" s="358"/>
      <c r="D213" s="27" t="s">
        <v>306</v>
      </c>
      <c r="E213" s="217" t="s">
        <v>7</v>
      </c>
      <c r="F213" s="37">
        <f>99*4</f>
        <v>396</v>
      </c>
      <c r="G213" s="36">
        <v>0.05</v>
      </c>
      <c r="H213" s="37">
        <f t="shared" si="171"/>
        <v>415.8</v>
      </c>
      <c r="I213" s="133">
        <v>0.01</v>
      </c>
      <c r="J213" s="240">
        <f t="shared" si="172"/>
        <v>55</v>
      </c>
      <c r="K213" s="38">
        <f t="shared" si="173"/>
        <v>0.55000000000000004</v>
      </c>
      <c r="L213" s="38">
        <v>0.4</v>
      </c>
      <c r="M213" s="39">
        <f t="shared" si="174"/>
        <v>0.95000000000000007</v>
      </c>
      <c r="N213" s="41">
        <f t="shared" si="175"/>
        <v>395.01000000000005</v>
      </c>
      <c r="O213" s="9"/>
      <c r="P213" s="318">
        <f t="shared" si="98"/>
        <v>228.69000000000003</v>
      </c>
      <c r="Q213" s="319">
        <f t="shared" si="99"/>
        <v>166.32000000000002</v>
      </c>
      <c r="R213" s="9"/>
    </row>
    <row r="214" spans="1:18" ht="18" customHeight="1" x14ac:dyDescent="0.25">
      <c r="A214" s="61" t="str">
        <f>IF(G214&lt;&gt;"",1+MAX($A$2:A213),"")</f>
        <v/>
      </c>
      <c r="B214" s="354"/>
      <c r="C214" s="356" t="s">
        <v>312</v>
      </c>
      <c r="D214" s="177" t="s">
        <v>313</v>
      </c>
      <c r="E214" s="65"/>
      <c r="F214" s="64"/>
      <c r="G214" s="65"/>
      <c r="H214" s="37"/>
      <c r="I214" s="66"/>
      <c r="J214" s="242"/>
      <c r="K214" s="60"/>
      <c r="L214" s="60"/>
      <c r="M214" s="39"/>
      <c r="N214" s="41"/>
      <c r="O214" s="9"/>
      <c r="P214" s="318">
        <f t="shared" si="98"/>
        <v>0</v>
      </c>
      <c r="Q214" s="319">
        <f t="shared" si="99"/>
        <v>0</v>
      </c>
      <c r="R214" s="9"/>
    </row>
    <row r="215" spans="1:18" ht="18.75" x14ac:dyDescent="0.3">
      <c r="A215" s="67">
        <f>IF(G215&lt;&gt;"",1+MAX($A$2:A214),"")</f>
        <v>139</v>
      </c>
      <c r="B215" s="354"/>
      <c r="C215" s="357"/>
      <c r="D215" s="69" t="s">
        <v>314</v>
      </c>
      <c r="E215" s="218" t="s">
        <v>34</v>
      </c>
      <c r="F215" s="94">
        <v>164</v>
      </c>
      <c r="G215" s="36">
        <v>0.05</v>
      </c>
      <c r="H215" s="37">
        <f>(G215*F215)+F215</f>
        <v>172.2</v>
      </c>
      <c r="I215" s="66"/>
      <c r="J215" s="242"/>
      <c r="K215" s="38"/>
      <c r="L215" s="38"/>
      <c r="M215" s="39"/>
      <c r="N215" s="41"/>
      <c r="O215" s="9"/>
      <c r="P215" s="318">
        <f t="shared" si="98"/>
        <v>0</v>
      </c>
      <c r="Q215" s="319">
        <f t="shared" si="99"/>
        <v>0</v>
      </c>
      <c r="R215" s="9"/>
    </row>
    <row r="216" spans="1:18" ht="15.75" x14ac:dyDescent="0.2">
      <c r="A216" s="67">
        <f>IF(G216&lt;&gt;"",1+MAX($A$2:A215),"")</f>
        <v>140</v>
      </c>
      <c r="B216" s="354"/>
      <c r="C216" s="357"/>
      <c r="D216" s="27" t="s">
        <v>310</v>
      </c>
      <c r="E216" s="218" t="s">
        <v>7</v>
      </c>
      <c r="F216" s="37">
        <f>((80*11.67)+(62*12.5)+(23*10.18))*2</f>
        <v>3885.4799999999996</v>
      </c>
      <c r="G216" s="36">
        <v>0.05</v>
      </c>
      <c r="H216" s="37">
        <f>(G216*F216)+F216</f>
        <v>4079.7539999999995</v>
      </c>
      <c r="I216" s="133"/>
      <c r="J216" s="240"/>
      <c r="K216" s="38"/>
      <c r="L216" s="38"/>
      <c r="M216" s="39"/>
      <c r="N216" s="41"/>
      <c r="O216" s="9"/>
      <c r="P216" s="318">
        <f t="shared" ref="P216:P279" si="179">K216*H216</f>
        <v>0</v>
      </c>
      <c r="Q216" s="319">
        <f t="shared" ref="Q216:Q279" si="180">L216*H216</f>
        <v>0</v>
      </c>
      <c r="R216" s="9"/>
    </row>
    <row r="217" spans="1:18" ht="15.75" x14ac:dyDescent="0.2">
      <c r="A217" s="67">
        <f>IF(G217&lt;&gt;"",1+MAX($A$2:A216),"")</f>
        <v>141</v>
      </c>
      <c r="B217" s="354"/>
      <c r="C217" s="357"/>
      <c r="D217" s="137" t="s">
        <v>98</v>
      </c>
      <c r="E217" s="218" t="s">
        <v>32</v>
      </c>
      <c r="F217" s="37">
        <f>ROUNDUP(H216/32,0)</f>
        <v>128</v>
      </c>
      <c r="G217" s="36">
        <v>0</v>
      </c>
      <c r="H217" s="37">
        <f t="shared" ref="H217:H225" si="181">(G217*F217)+F217</f>
        <v>128</v>
      </c>
      <c r="I217" s="133">
        <v>0.28000000000000003</v>
      </c>
      <c r="J217" s="240">
        <f t="shared" ref="J217" si="182">J$192</f>
        <v>55</v>
      </c>
      <c r="K217" s="38">
        <f t="shared" ref="K217:K220" si="183">I217*J217</f>
        <v>15.400000000000002</v>
      </c>
      <c r="L217" s="38">
        <v>16.850000000000001</v>
      </c>
      <c r="M217" s="39">
        <f t="shared" ref="M217:M225" si="184">+L217+K217</f>
        <v>32.25</v>
      </c>
      <c r="N217" s="41">
        <f t="shared" ref="N217:N225" si="185">H217*M217</f>
        <v>4128</v>
      </c>
      <c r="O217" s="9"/>
      <c r="P217" s="318">
        <f t="shared" si="179"/>
        <v>1971.2000000000003</v>
      </c>
      <c r="Q217" s="319">
        <f t="shared" si="180"/>
        <v>2156.8000000000002</v>
      </c>
      <c r="R217" s="9"/>
    </row>
    <row r="218" spans="1:18" ht="15.75" x14ac:dyDescent="0.2">
      <c r="A218" s="67">
        <f>IF(G218&lt;&gt;"",1+MAX($A$2:A217),"")</f>
        <v>142</v>
      </c>
      <c r="B218" s="354"/>
      <c r="C218" s="357"/>
      <c r="D218" s="137" t="s">
        <v>99</v>
      </c>
      <c r="E218" s="218" t="s">
        <v>34</v>
      </c>
      <c r="F218" s="37">
        <f>F216/32*16</f>
        <v>1942.7399999999998</v>
      </c>
      <c r="G218" s="36">
        <v>0.05</v>
      </c>
      <c r="H218" s="37">
        <f t="shared" si="181"/>
        <v>2039.8769999999997</v>
      </c>
      <c r="I218" s="133">
        <v>8.0000000000000002E-3</v>
      </c>
      <c r="J218" s="240">
        <f>J$192</f>
        <v>55</v>
      </c>
      <c r="K218" s="38">
        <f t="shared" si="183"/>
        <v>0.44</v>
      </c>
      <c r="L218" s="38">
        <v>0.03</v>
      </c>
      <c r="M218" s="39">
        <f t="shared" si="184"/>
        <v>0.47</v>
      </c>
      <c r="N218" s="41">
        <f t="shared" si="185"/>
        <v>958.74218999999982</v>
      </c>
      <c r="O218" s="9"/>
      <c r="P218" s="318">
        <f t="shared" si="179"/>
        <v>897.5458799999999</v>
      </c>
      <c r="Q218" s="319">
        <f t="shared" si="180"/>
        <v>61.19630999999999</v>
      </c>
      <c r="R218" s="9"/>
    </row>
    <row r="219" spans="1:18" ht="15.75" x14ac:dyDescent="0.2">
      <c r="A219" s="67">
        <f>IF(G219&lt;&gt;"",1+MAX($A$2:A218),"")</f>
        <v>143</v>
      </c>
      <c r="B219" s="354"/>
      <c r="C219" s="357"/>
      <c r="D219" s="137" t="s">
        <v>100</v>
      </c>
      <c r="E219" s="218" t="s">
        <v>102</v>
      </c>
      <c r="F219" s="37">
        <f>0.052*F216</f>
        <v>202.04495999999997</v>
      </c>
      <c r="G219" s="36">
        <v>0.05</v>
      </c>
      <c r="H219" s="37">
        <f t="shared" si="181"/>
        <v>212.14720799999998</v>
      </c>
      <c r="I219" s="133">
        <v>0.25</v>
      </c>
      <c r="J219" s="240">
        <f t="shared" ref="J219:J220" si="186">J$192</f>
        <v>55</v>
      </c>
      <c r="K219" s="38">
        <f t="shared" si="183"/>
        <v>13.75</v>
      </c>
      <c r="L219" s="38">
        <v>1.52</v>
      </c>
      <c r="M219" s="39">
        <f t="shared" si="184"/>
        <v>15.27</v>
      </c>
      <c r="N219" s="41">
        <f t="shared" si="185"/>
        <v>3239.4878661599996</v>
      </c>
      <c r="O219" s="9"/>
      <c r="P219" s="318">
        <f t="shared" si="179"/>
        <v>2917.0241099999998</v>
      </c>
      <c r="Q219" s="319">
        <f t="shared" si="180"/>
        <v>322.46375615999995</v>
      </c>
      <c r="R219" s="9"/>
    </row>
    <row r="220" spans="1:18" ht="15.75" x14ac:dyDescent="0.2">
      <c r="A220" s="67">
        <f>IF(G220&lt;&gt;"",1+MAX($A$2:A219),"")</f>
        <v>144</v>
      </c>
      <c r="B220" s="354"/>
      <c r="C220" s="357"/>
      <c r="D220" s="137" t="s">
        <v>101</v>
      </c>
      <c r="E220" s="218" t="s">
        <v>32</v>
      </c>
      <c r="F220" s="37">
        <f>F217*48</f>
        <v>6144</v>
      </c>
      <c r="G220" s="36">
        <v>0</v>
      </c>
      <c r="H220" s="37">
        <f t="shared" si="181"/>
        <v>6144</v>
      </c>
      <c r="I220" s="133">
        <v>0</v>
      </c>
      <c r="J220" s="240">
        <f t="shared" si="186"/>
        <v>55</v>
      </c>
      <c r="K220" s="38">
        <f t="shared" si="183"/>
        <v>0</v>
      </c>
      <c r="L220" s="38">
        <v>0.05</v>
      </c>
      <c r="M220" s="39">
        <f t="shared" si="184"/>
        <v>0.05</v>
      </c>
      <c r="N220" s="41">
        <f t="shared" si="185"/>
        <v>307.20000000000005</v>
      </c>
      <c r="O220" s="9"/>
      <c r="P220" s="318">
        <f t="shared" si="179"/>
        <v>0</v>
      </c>
      <c r="Q220" s="319">
        <f t="shared" si="180"/>
        <v>307.20000000000005</v>
      </c>
      <c r="R220" s="9"/>
    </row>
    <row r="221" spans="1:18" ht="15.75" x14ac:dyDescent="0.2">
      <c r="A221" s="67">
        <f>IF(G221&lt;&gt;"",1+MAX($A$2:A220),"")</f>
        <v>145</v>
      </c>
      <c r="B221" s="354"/>
      <c r="C221" s="357"/>
      <c r="D221" s="27" t="s">
        <v>315</v>
      </c>
      <c r="E221" s="35" t="s">
        <v>34</v>
      </c>
      <c r="F221" s="37">
        <f>((80*11.67)/1.167)+((62*12.5)/1.167)+((23*10.18)/1.167)</f>
        <v>1664.7300771208227</v>
      </c>
      <c r="G221" s="36">
        <v>0.05</v>
      </c>
      <c r="H221" s="37">
        <f t="shared" si="181"/>
        <v>1747.9665809768637</v>
      </c>
      <c r="I221" s="133">
        <v>1.2E-2</v>
      </c>
      <c r="J221" s="240">
        <f t="shared" ref="J221:J225" si="187">J$192</f>
        <v>55</v>
      </c>
      <c r="K221" s="38">
        <f t="shared" ref="K221:K225" si="188">I221*J221</f>
        <v>0.66</v>
      </c>
      <c r="L221" s="38">
        <v>1.85</v>
      </c>
      <c r="M221" s="39">
        <f t="shared" si="184"/>
        <v>2.5100000000000002</v>
      </c>
      <c r="N221" s="41">
        <f t="shared" si="185"/>
        <v>4387.3961182519288</v>
      </c>
      <c r="O221" s="9"/>
      <c r="P221" s="318">
        <f t="shared" si="179"/>
        <v>1153.6579434447301</v>
      </c>
      <c r="Q221" s="319">
        <f t="shared" si="180"/>
        <v>3233.738174807198</v>
      </c>
      <c r="R221" s="9"/>
    </row>
    <row r="222" spans="1:18" ht="15.75" x14ac:dyDescent="0.2">
      <c r="A222" s="67">
        <f>IF(G222&lt;&gt;"",1+MAX($A$2:A221),"")</f>
        <v>146</v>
      </c>
      <c r="B222" s="354"/>
      <c r="C222" s="357"/>
      <c r="D222" s="27" t="s">
        <v>316</v>
      </c>
      <c r="E222" s="35" t="s">
        <v>34</v>
      </c>
      <c r="F222" s="37">
        <v>164</v>
      </c>
      <c r="G222" s="36">
        <v>0.05</v>
      </c>
      <c r="H222" s="37">
        <f t="shared" si="181"/>
        <v>172.2</v>
      </c>
      <c r="I222" s="133">
        <v>1.2E-2</v>
      </c>
      <c r="J222" s="240">
        <f t="shared" si="187"/>
        <v>55</v>
      </c>
      <c r="K222" s="38">
        <f t="shared" ref="K222:K223" si="189">I222*J222</f>
        <v>0.66</v>
      </c>
      <c r="L222" s="38">
        <v>1.85</v>
      </c>
      <c r="M222" s="39">
        <f t="shared" si="184"/>
        <v>2.5100000000000002</v>
      </c>
      <c r="N222" s="41">
        <f t="shared" si="185"/>
        <v>432.22200000000004</v>
      </c>
      <c r="O222" s="9"/>
      <c r="P222" s="318">
        <f t="shared" si="179"/>
        <v>113.652</v>
      </c>
      <c r="Q222" s="319">
        <f t="shared" si="180"/>
        <v>318.57</v>
      </c>
      <c r="R222" s="9"/>
    </row>
    <row r="223" spans="1:18" ht="15.75" x14ac:dyDescent="0.2">
      <c r="A223" s="67">
        <f>IF(G223&lt;&gt;"",1+MAX($A$2:A222),"")</f>
        <v>147</v>
      </c>
      <c r="B223" s="354"/>
      <c r="C223" s="357"/>
      <c r="D223" s="27" t="s">
        <v>317</v>
      </c>
      <c r="E223" s="35" t="s">
        <v>34</v>
      </c>
      <c r="F223" s="37">
        <v>164</v>
      </c>
      <c r="G223" s="36">
        <v>0.05</v>
      </c>
      <c r="H223" s="37">
        <f t="shared" si="181"/>
        <v>172.2</v>
      </c>
      <c r="I223" s="133">
        <v>1.2E-2</v>
      </c>
      <c r="J223" s="240">
        <f t="shared" si="187"/>
        <v>55</v>
      </c>
      <c r="K223" s="38">
        <f t="shared" si="189"/>
        <v>0.66</v>
      </c>
      <c r="L223" s="38">
        <v>1.85</v>
      </c>
      <c r="M223" s="39">
        <f t="shared" si="184"/>
        <v>2.5100000000000002</v>
      </c>
      <c r="N223" s="41">
        <f t="shared" si="185"/>
        <v>432.22200000000004</v>
      </c>
      <c r="O223" s="9"/>
      <c r="P223" s="318">
        <f t="shared" si="179"/>
        <v>113.652</v>
      </c>
      <c r="Q223" s="319">
        <f t="shared" si="180"/>
        <v>318.57</v>
      </c>
      <c r="R223" s="9"/>
    </row>
    <row r="224" spans="1:18" ht="15.75" x14ac:dyDescent="0.2">
      <c r="A224" s="67">
        <f>IF(G224&lt;&gt;"",1+MAX($A$2:A223),"")</f>
        <v>148</v>
      </c>
      <c r="B224" s="354"/>
      <c r="C224" s="357"/>
      <c r="D224" s="27" t="s">
        <v>311</v>
      </c>
      <c r="E224" s="35" t="s">
        <v>7</v>
      </c>
      <c r="F224" s="37">
        <f>((80*11.67)+(62*12.5)+(23*10.18))</f>
        <v>1942.7399999999998</v>
      </c>
      <c r="G224" s="36">
        <v>0.05</v>
      </c>
      <c r="H224" s="37">
        <f t="shared" si="181"/>
        <v>2039.8769999999997</v>
      </c>
      <c r="I224" s="133">
        <v>1.2999999999999999E-2</v>
      </c>
      <c r="J224" s="240">
        <f t="shared" si="187"/>
        <v>55</v>
      </c>
      <c r="K224" s="38">
        <f t="shared" si="188"/>
        <v>0.71499999999999997</v>
      </c>
      <c r="L224" s="38">
        <v>0.92</v>
      </c>
      <c r="M224" s="39">
        <f t="shared" si="184"/>
        <v>1.635</v>
      </c>
      <c r="N224" s="41">
        <f t="shared" si="185"/>
        <v>3335.1988949999995</v>
      </c>
      <c r="O224" s="9"/>
      <c r="P224" s="318">
        <f t="shared" si="179"/>
        <v>1458.5120549999997</v>
      </c>
      <c r="Q224" s="319">
        <f t="shared" si="180"/>
        <v>1876.6868399999998</v>
      </c>
      <c r="R224" s="9"/>
    </row>
    <row r="225" spans="1:18" ht="15.75" x14ac:dyDescent="0.2">
      <c r="A225" s="67">
        <f>IF(G225&lt;&gt;"",1+MAX($A$2:A224),"")</f>
        <v>149</v>
      </c>
      <c r="B225" s="355"/>
      <c r="C225" s="358"/>
      <c r="D225" s="27" t="s">
        <v>306</v>
      </c>
      <c r="E225" s="217" t="s">
        <v>7</v>
      </c>
      <c r="F225" s="37">
        <f>164*4</f>
        <v>656</v>
      </c>
      <c r="G225" s="36">
        <v>0.05</v>
      </c>
      <c r="H225" s="37">
        <f t="shared" si="181"/>
        <v>688.8</v>
      </c>
      <c r="I225" s="133">
        <v>0.01</v>
      </c>
      <c r="J225" s="240">
        <f t="shared" si="187"/>
        <v>55</v>
      </c>
      <c r="K225" s="38">
        <f t="shared" si="188"/>
        <v>0.55000000000000004</v>
      </c>
      <c r="L225" s="38">
        <v>0.4</v>
      </c>
      <c r="M225" s="39">
        <f t="shared" si="184"/>
        <v>0.95000000000000007</v>
      </c>
      <c r="N225" s="41">
        <f t="shared" si="185"/>
        <v>654.36</v>
      </c>
      <c r="O225" s="9"/>
      <c r="P225" s="318">
        <f t="shared" si="179"/>
        <v>378.84000000000003</v>
      </c>
      <c r="Q225" s="319">
        <f t="shared" si="180"/>
        <v>275.52</v>
      </c>
      <c r="R225" s="9"/>
    </row>
    <row r="226" spans="1:18" ht="18" customHeight="1" x14ac:dyDescent="0.25">
      <c r="A226" s="112" t="str">
        <f>IF(G226&lt;&gt;"",1+MAX($A$2:A225),"")</f>
        <v/>
      </c>
      <c r="B226" s="145"/>
      <c r="C226" s="150"/>
      <c r="D226" s="360" t="s">
        <v>58</v>
      </c>
      <c r="E226" s="361"/>
      <c r="F226" s="64"/>
      <c r="G226" s="65"/>
      <c r="H226" s="37"/>
      <c r="I226" s="170"/>
      <c r="J226" s="246"/>
      <c r="K226" s="60"/>
      <c r="L226" s="60"/>
      <c r="M226" s="39"/>
      <c r="N226" s="41"/>
      <c r="P226" s="318">
        <f t="shared" si="179"/>
        <v>0</v>
      </c>
      <c r="Q226" s="319">
        <f t="shared" si="180"/>
        <v>0</v>
      </c>
    </row>
    <row r="227" spans="1:18" ht="15.6" customHeight="1" x14ac:dyDescent="0.2">
      <c r="A227" s="112" t="str">
        <f>IF(G227&lt;&gt;"",1+MAX($A$2:A226),"")</f>
        <v/>
      </c>
      <c r="B227" s="229"/>
      <c r="C227" s="143"/>
      <c r="D227" s="136" t="s">
        <v>230</v>
      </c>
      <c r="E227" s="70"/>
      <c r="F227" s="37"/>
      <c r="G227" s="36"/>
      <c r="H227" s="37"/>
      <c r="I227" s="169"/>
      <c r="J227" s="243"/>
      <c r="K227" s="38"/>
      <c r="L227" s="38"/>
      <c r="M227" s="39"/>
      <c r="N227" s="41"/>
      <c r="P227" s="318">
        <f t="shared" si="179"/>
        <v>0</v>
      </c>
      <c r="Q227" s="319">
        <f t="shared" si="180"/>
        <v>0</v>
      </c>
    </row>
    <row r="228" spans="1:18" ht="18" customHeight="1" x14ac:dyDescent="0.2">
      <c r="A228" s="112">
        <f>IF(G228&lt;&gt;"",1+MAX($A$2:A227),"")</f>
        <v>150</v>
      </c>
      <c r="B228" s="351" t="s">
        <v>134</v>
      </c>
      <c r="C228" s="365" t="s">
        <v>231</v>
      </c>
      <c r="D228" s="134" t="s">
        <v>232</v>
      </c>
      <c r="E228" s="35" t="s">
        <v>7</v>
      </c>
      <c r="F228" s="37">
        <v>2304.6</v>
      </c>
      <c r="G228" s="36">
        <v>0.05</v>
      </c>
      <c r="H228" s="37">
        <f>(G228*F228)+F228</f>
        <v>2419.83</v>
      </c>
      <c r="I228" s="133">
        <v>1.4999999999999999E-2</v>
      </c>
      <c r="J228" s="240">
        <v>52</v>
      </c>
      <c r="K228" s="38">
        <f t="shared" ref="K228:K238" si="190">I228*J228</f>
        <v>0.78</v>
      </c>
      <c r="L228" s="38">
        <v>1.45</v>
      </c>
      <c r="M228" s="39">
        <f t="shared" ref="M228:M231" si="191">+L228+K228</f>
        <v>2.23</v>
      </c>
      <c r="N228" s="41">
        <f t="shared" ref="N228:N231" si="192">H228*M228</f>
        <v>5396.2208999999993</v>
      </c>
      <c r="P228" s="318">
        <f t="shared" si="179"/>
        <v>1887.4674</v>
      </c>
      <c r="Q228" s="319">
        <f t="shared" si="180"/>
        <v>3508.7534999999998</v>
      </c>
    </row>
    <row r="229" spans="1:18" ht="18" customHeight="1" x14ac:dyDescent="0.2">
      <c r="A229" s="112">
        <f>IF(G229&lt;&gt;"",1+MAX($A$2:A228),"")</f>
        <v>151</v>
      </c>
      <c r="B229" s="359"/>
      <c r="C229" s="365"/>
      <c r="D229" s="134" t="s">
        <v>233</v>
      </c>
      <c r="E229" s="35" t="s">
        <v>7</v>
      </c>
      <c r="F229" s="37">
        <v>1422</v>
      </c>
      <c r="G229" s="36">
        <v>0.05</v>
      </c>
      <c r="H229" s="37">
        <f>(G229*F229)+F229</f>
        <v>1493.1</v>
      </c>
      <c r="I229" s="133">
        <v>7.1999999999999995E-2</v>
      </c>
      <c r="J229" s="240">
        <f>J$228</f>
        <v>52</v>
      </c>
      <c r="K229" s="38">
        <f t="shared" si="190"/>
        <v>3.7439999999999998</v>
      </c>
      <c r="L229" s="38">
        <v>3.85</v>
      </c>
      <c r="M229" s="39">
        <f t="shared" si="191"/>
        <v>7.5939999999999994</v>
      </c>
      <c r="N229" s="41">
        <f t="shared" si="192"/>
        <v>11338.601399999998</v>
      </c>
      <c r="P229" s="318">
        <f t="shared" si="179"/>
        <v>5590.1663999999992</v>
      </c>
      <c r="Q229" s="319">
        <f t="shared" si="180"/>
        <v>5748.4349999999995</v>
      </c>
    </row>
    <row r="230" spans="1:18" ht="15.75" x14ac:dyDescent="0.2">
      <c r="A230" s="112">
        <f>IF(G230&lt;&gt;"",1+MAX($A$2:A229),"")</f>
        <v>152</v>
      </c>
      <c r="B230" s="359"/>
      <c r="C230" s="365"/>
      <c r="D230" s="171" t="s">
        <v>234</v>
      </c>
      <c r="E230" s="35" t="s">
        <v>7</v>
      </c>
      <c r="F230" s="37">
        <v>2577</v>
      </c>
      <c r="G230" s="36">
        <v>0.05</v>
      </c>
      <c r="H230" s="37">
        <f>(G230*F230)+F230</f>
        <v>2705.85</v>
      </c>
      <c r="I230" s="133">
        <v>2.5000000000000001E-2</v>
      </c>
      <c r="J230" s="240">
        <f t="shared" ref="J230:J231" si="193">J$228</f>
        <v>52</v>
      </c>
      <c r="K230" s="38">
        <f t="shared" si="190"/>
        <v>1.3</v>
      </c>
      <c r="L230" s="38">
        <f>1.86</f>
        <v>1.86</v>
      </c>
      <c r="M230" s="39">
        <f t="shared" si="191"/>
        <v>3.16</v>
      </c>
      <c r="N230" s="41">
        <f t="shared" si="192"/>
        <v>8550.4860000000008</v>
      </c>
      <c r="P230" s="318">
        <f t="shared" si="179"/>
        <v>3517.605</v>
      </c>
      <c r="Q230" s="319">
        <f t="shared" si="180"/>
        <v>5032.8810000000003</v>
      </c>
    </row>
    <row r="231" spans="1:18" ht="15.75" x14ac:dyDescent="0.2">
      <c r="A231" s="112">
        <f>IF(G231&lt;&gt;"",1+MAX($A$2:A230),"")</f>
        <v>153</v>
      </c>
      <c r="B231" s="359"/>
      <c r="C231" s="223" t="s">
        <v>152</v>
      </c>
      <c r="D231" s="171" t="s">
        <v>235</v>
      </c>
      <c r="E231" s="35" t="s">
        <v>7</v>
      </c>
      <c r="F231" s="37">
        <v>24.3</v>
      </c>
      <c r="G231" s="36">
        <v>0.05</v>
      </c>
      <c r="H231" s="37">
        <f>(G231*F231)+F231</f>
        <v>25.515000000000001</v>
      </c>
      <c r="I231" s="133">
        <v>2.5000000000000001E-2</v>
      </c>
      <c r="J231" s="240">
        <f t="shared" si="193"/>
        <v>52</v>
      </c>
      <c r="K231" s="38">
        <f t="shared" si="190"/>
        <v>1.3</v>
      </c>
      <c r="L231" s="38">
        <v>5.68</v>
      </c>
      <c r="M231" s="39">
        <f t="shared" si="191"/>
        <v>6.9799999999999995</v>
      </c>
      <c r="N231" s="41">
        <f t="shared" si="192"/>
        <v>178.09469999999999</v>
      </c>
      <c r="P231" s="318">
        <f t="shared" si="179"/>
        <v>33.169499999999999</v>
      </c>
      <c r="Q231" s="319">
        <f t="shared" si="180"/>
        <v>144.92519999999999</v>
      </c>
    </row>
    <row r="232" spans="1:18" ht="15.6" customHeight="1" x14ac:dyDescent="0.2">
      <c r="A232" s="112" t="str">
        <f>IF(G232&lt;&gt;"",1+MAX($A$2:A231),"")</f>
        <v/>
      </c>
      <c r="B232" s="359"/>
      <c r="C232" s="143"/>
      <c r="D232" s="136" t="s">
        <v>236</v>
      </c>
      <c r="E232" s="71"/>
      <c r="F232" s="37"/>
      <c r="G232" s="36"/>
      <c r="H232" s="37"/>
      <c r="I232" s="169"/>
      <c r="J232" s="243"/>
      <c r="K232" s="38"/>
      <c r="L232" s="38"/>
      <c r="M232" s="39"/>
      <c r="N232" s="41"/>
      <c r="P232" s="318">
        <f t="shared" si="179"/>
        <v>0</v>
      </c>
      <c r="Q232" s="319">
        <f t="shared" si="180"/>
        <v>0</v>
      </c>
    </row>
    <row r="233" spans="1:18" ht="15.75" x14ac:dyDescent="0.2">
      <c r="A233" s="112">
        <f>IF(G233&lt;&gt;"",1+MAX($A$2:A232),"")</f>
        <v>154</v>
      </c>
      <c r="B233" s="359"/>
      <c r="C233" s="143" t="s">
        <v>231</v>
      </c>
      <c r="D233" s="160" t="s">
        <v>237</v>
      </c>
      <c r="E233" s="35" t="s">
        <v>34</v>
      </c>
      <c r="F233" s="37">
        <f>259</f>
        <v>259</v>
      </c>
      <c r="G233" s="36">
        <v>0.05</v>
      </c>
      <c r="H233" s="37">
        <f>(G233*F233)+F233</f>
        <v>271.95</v>
      </c>
      <c r="I233" s="133">
        <v>2.1999999999999999E-2</v>
      </c>
      <c r="J233" s="240">
        <f t="shared" ref="J233:J235" si="194">J$228</f>
        <v>52</v>
      </c>
      <c r="K233" s="38">
        <f t="shared" si="190"/>
        <v>1.1439999999999999</v>
      </c>
      <c r="L233" s="38">
        <v>1.92</v>
      </c>
      <c r="M233" s="39">
        <f t="shared" ref="M233:M234" si="195">+L233+K233</f>
        <v>3.0640000000000001</v>
      </c>
      <c r="N233" s="41">
        <f>H233*M233</f>
        <v>833.25479999999993</v>
      </c>
      <c r="P233" s="318">
        <f t="shared" si="179"/>
        <v>311.11079999999998</v>
      </c>
      <c r="Q233" s="319">
        <f t="shared" si="180"/>
        <v>522.14400000000001</v>
      </c>
    </row>
    <row r="234" spans="1:18" ht="15.75" x14ac:dyDescent="0.2">
      <c r="A234" s="112">
        <f>IF(G234&lt;&gt;"",1+MAX($A$2:A233),"")</f>
        <v>155</v>
      </c>
      <c r="B234" s="359"/>
      <c r="C234" s="143"/>
      <c r="D234" s="160" t="s">
        <v>238</v>
      </c>
      <c r="E234" s="35" t="s">
        <v>34</v>
      </c>
      <c r="F234" s="37">
        <v>909.4</v>
      </c>
      <c r="G234" s="36">
        <v>0.05</v>
      </c>
      <c r="H234" s="37">
        <f>(G234*F234)+F234</f>
        <v>954.87</v>
      </c>
      <c r="I234" s="133">
        <v>2.1999999999999999E-2</v>
      </c>
      <c r="J234" s="240">
        <f t="shared" si="194"/>
        <v>52</v>
      </c>
      <c r="K234" s="38">
        <f t="shared" si="190"/>
        <v>1.1439999999999999</v>
      </c>
      <c r="L234" s="38">
        <v>1.85</v>
      </c>
      <c r="M234" s="39">
        <f t="shared" si="195"/>
        <v>2.9939999999999998</v>
      </c>
      <c r="N234" s="41">
        <f>H234*M234</f>
        <v>2858.88078</v>
      </c>
      <c r="P234" s="318">
        <f t="shared" si="179"/>
        <v>1092.3712799999998</v>
      </c>
      <c r="Q234" s="319">
        <f t="shared" si="180"/>
        <v>1766.5095000000001</v>
      </c>
    </row>
    <row r="235" spans="1:18" ht="18" customHeight="1" x14ac:dyDescent="0.2">
      <c r="A235" s="112">
        <f>IF(G235&lt;&gt;"",1+MAX($A$2:A234),"")</f>
        <v>156</v>
      </c>
      <c r="B235" s="359"/>
      <c r="C235" s="143"/>
      <c r="D235" s="160" t="s">
        <v>59</v>
      </c>
      <c r="E235" s="35" t="s">
        <v>34</v>
      </c>
      <c r="F235" s="37">
        <v>22.3</v>
      </c>
      <c r="G235" s="36">
        <v>0.05</v>
      </c>
      <c r="H235" s="37">
        <f t="shared" ref="H235" si="196">(G235*F235)+F235</f>
        <v>23.414999999999999</v>
      </c>
      <c r="I235" s="133">
        <v>1.2E-2</v>
      </c>
      <c r="J235" s="240">
        <f t="shared" si="194"/>
        <v>52</v>
      </c>
      <c r="K235" s="38">
        <f t="shared" si="190"/>
        <v>0.624</v>
      </c>
      <c r="L235" s="38">
        <v>1.25</v>
      </c>
      <c r="M235" s="39">
        <f>+L235+K235</f>
        <v>1.8740000000000001</v>
      </c>
      <c r="N235" s="41">
        <f t="shared" ref="N235" si="197">H235*M235</f>
        <v>43.879710000000003</v>
      </c>
      <c r="P235" s="318">
        <f t="shared" si="179"/>
        <v>14.610959999999999</v>
      </c>
      <c r="Q235" s="319">
        <f t="shared" si="180"/>
        <v>29.268749999999997</v>
      </c>
    </row>
    <row r="236" spans="1:18" ht="18" customHeight="1" x14ac:dyDescent="0.25">
      <c r="A236" s="112" t="str">
        <f>IF(G236&lt;&gt;"",1+MAX($A$2:A235),"")</f>
        <v/>
      </c>
      <c r="B236" s="359"/>
      <c r="C236" s="155"/>
      <c r="D236" s="360" t="s">
        <v>60</v>
      </c>
      <c r="E236" s="366"/>
      <c r="F236" s="97"/>
      <c r="G236" s="65"/>
      <c r="H236" s="37"/>
      <c r="I236" s="170"/>
      <c r="J236" s="246"/>
      <c r="K236" s="60"/>
      <c r="L236" s="60"/>
      <c r="M236" s="39"/>
      <c r="N236" s="41"/>
      <c r="P236" s="318">
        <f t="shared" si="179"/>
        <v>0</v>
      </c>
      <c r="Q236" s="319">
        <f t="shared" si="180"/>
        <v>0</v>
      </c>
    </row>
    <row r="237" spans="1:18" ht="18" customHeight="1" x14ac:dyDescent="0.2">
      <c r="A237" s="112" t="str">
        <f>IF(G237&lt;&gt;"",1+MAX($A$2:A236),"")</f>
        <v/>
      </c>
      <c r="B237" s="359"/>
      <c r="C237" s="143"/>
      <c r="D237" s="136" t="s">
        <v>239</v>
      </c>
      <c r="E237" s="71"/>
      <c r="F237" s="37"/>
      <c r="G237" s="36"/>
      <c r="H237" s="37"/>
      <c r="I237" s="169"/>
      <c r="J237" s="243"/>
      <c r="K237" s="38"/>
      <c r="L237" s="38"/>
      <c r="M237" s="39"/>
      <c r="N237" s="41"/>
      <c r="P237" s="318">
        <f t="shared" si="179"/>
        <v>0</v>
      </c>
      <c r="Q237" s="319">
        <f t="shared" si="180"/>
        <v>0</v>
      </c>
    </row>
    <row r="238" spans="1:18" ht="47.25" x14ac:dyDescent="0.2">
      <c r="A238" s="112">
        <f>IF(G238&lt;&gt;"",1+MAX($A$2:A237),"")</f>
        <v>157</v>
      </c>
      <c r="B238" s="359"/>
      <c r="C238" s="290" t="s">
        <v>430</v>
      </c>
      <c r="D238" s="160" t="s">
        <v>240</v>
      </c>
      <c r="E238" s="35" t="s">
        <v>7</v>
      </c>
      <c r="F238" s="37">
        <v>1522</v>
      </c>
      <c r="G238" s="36">
        <v>0.05</v>
      </c>
      <c r="H238" s="37">
        <f>(G238*F238)+F238</f>
        <v>1598.1</v>
      </c>
      <c r="I238" s="133">
        <v>4.8000000000000001E-2</v>
      </c>
      <c r="J238" s="240">
        <f t="shared" ref="J238" si="198">J$192</f>
        <v>55</v>
      </c>
      <c r="K238" s="38">
        <f t="shared" si="190"/>
        <v>2.64</v>
      </c>
      <c r="L238" s="38">
        <v>3.42</v>
      </c>
      <c r="M238" s="39">
        <f>+L238+K238</f>
        <v>6.0600000000000005</v>
      </c>
      <c r="N238" s="41">
        <f>H238*M238</f>
        <v>9684.4860000000008</v>
      </c>
      <c r="P238" s="318">
        <f t="shared" si="179"/>
        <v>4218.9840000000004</v>
      </c>
      <c r="Q238" s="319">
        <f t="shared" si="180"/>
        <v>5465.5019999999995</v>
      </c>
    </row>
    <row r="239" spans="1:18" ht="47.25" x14ac:dyDescent="0.2">
      <c r="A239" s="67" t="str">
        <f>IF(G239&lt;&gt;"",1+MAX($A$2:A238),"")</f>
        <v/>
      </c>
      <c r="B239" s="229"/>
      <c r="C239" s="149"/>
      <c r="D239" s="163" t="s">
        <v>436</v>
      </c>
      <c r="E239" s="37"/>
      <c r="F239" s="37"/>
      <c r="G239" s="36"/>
      <c r="H239" s="37"/>
      <c r="I239" s="133"/>
      <c r="J239" s="240"/>
      <c r="K239" s="38"/>
      <c r="L239" s="38"/>
      <c r="M239" s="39"/>
      <c r="N239" s="41"/>
      <c r="O239" s="9"/>
      <c r="P239" s="318">
        <f t="shared" si="179"/>
        <v>0</v>
      </c>
      <c r="Q239" s="319">
        <f t="shared" si="180"/>
        <v>0</v>
      </c>
      <c r="R239" s="9"/>
    </row>
    <row r="240" spans="1:18" ht="18" customHeight="1" x14ac:dyDescent="0.25">
      <c r="A240" s="112" t="str">
        <f>IF(G240&lt;&gt;"",1+MAX($A$2:A239),"")</f>
        <v/>
      </c>
      <c r="B240" s="351" t="s">
        <v>134</v>
      </c>
      <c r="C240" s="155"/>
      <c r="D240" s="360" t="s">
        <v>61</v>
      </c>
      <c r="E240" s="366"/>
      <c r="F240" s="97"/>
      <c r="G240" s="65"/>
      <c r="H240" s="37"/>
      <c r="I240" s="170"/>
      <c r="J240" s="246"/>
      <c r="K240" s="60"/>
      <c r="L240" s="60"/>
      <c r="M240" s="39"/>
      <c r="N240" s="41"/>
      <c r="P240" s="318">
        <f t="shared" si="179"/>
        <v>0</v>
      </c>
      <c r="Q240" s="319">
        <f t="shared" si="180"/>
        <v>0</v>
      </c>
    </row>
    <row r="241" spans="1:18" ht="15.6" customHeight="1" x14ac:dyDescent="0.2">
      <c r="A241" s="112" t="str">
        <f>IF(G241&lt;&gt;"",1+MAX($A$2:A240),"")</f>
        <v/>
      </c>
      <c r="B241" s="359"/>
      <c r="C241" s="351" t="s">
        <v>231</v>
      </c>
      <c r="D241" s="136" t="s">
        <v>241</v>
      </c>
      <c r="E241" s="86"/>
      <c r="F241" s="37"/>
      <c r="G241" s="36"/>
      <c r="H241" s="37"/>
      <c r="I241" s="169"/>
      <c r="J241" s="243"/>
      <c r="K241" s="38"/>
      <c r="L241" s="38"/>
      <c r="M241" s="39"/>
      <c r="N241" s="41"/>
      <c r="P241" s="318">
        <f t="shared" si="179"/>
        <v>0</v>
      </c>
      <c r="Q241" s="319">
        <f t="shared" si="180"/>
        <v>0</v>
      </c>
    </row>
    <row r="242" spans="1:18" ht="31.5" x14ac:dyDescent="0.2">
      <c r="A242" s="112">
        <f>IF(G242&lt;&gt;"",1+MAX($A$2:A241),"")</f>
        <v>158</v>
      </c>
      <c r="B242" s="359"/>
      <c r="C242" s="359"/>
      <c r="D242" s="160" t="s">
        <v>242</v>
      </c>
      <c r="E242" s="35" t="s">
        <v>7</v>
      </c>
      <c r="F242" s="37">
        <f>265*8+82*9+78*12.5+12*125.6+410*10.5+8.67*50+43.8*9.67</f>
        <v>10502.246000000001</v>
      </c>
      <c r="G242" s="36">
        <v>0.05</v>
      </c>
      <c r="H242" s="37">
        <f t="shared" ref="H242:H247" si="199">(G242*F242)+F242</f>
        <v>11027.358300000002</v>
      </c>
      <c r="I242" s="133">
        <v>0.02</v>
      </c>
      <c r="J242" s="240">
        <v>38</v>
      </c>
      <c r="K242" s="38">
        <f t="shared" ref="K242:K243" si="200">I242*J242</f>
        <v>0.76</v>
      </c>
      <c r="L242" s="38">
        <v>0.85</v>
      </c>
      <c r="M242" s="39">
        <f t="shared" ref="M242:M247" si="201">+L242+K242</f>
        <v>1.6099999999999999</v>
      </c>
      <c r="N242" s="41">
        <f t="shared" ref="N242:N247" si="202">H242*M242</f>
        <v>17754.046863</v>
      </c>
      <c r="P242" s="318">
        <f t="shared" si="179"/>
        <v>8380.7923080000019</v>
      </c>
      <c r="Q242" s="319">
        <f t="shared" si="180"/>
        <v>9373.2545550000013</v>
      </c>
    </row>
    <row r="243" spans="1:18" ht="31.5" x14ac:dyDescent="0.2">
      <c r="A243" s="112">
        <f>IF(G243&lt;&gt;"",1+MAX($A$2:A242),"")</f>
        <v>159</v>
      </c>
      <c r="B243" s="359"/>
      <c r="C243" s="359"/>
      <c r="D243" s="160" t="s">
        <v>243</v>
      </c>
      <c r="E243" s="35" t="s">
        <v>7</v>
      </c>
      <c r="F243" s="37">
        <f>26.7*12</f>
        <v>320.39999999999998</v>
      </c>
      <c r="G243" s="36">
        <v>0.05</v>
      </c>
      <c r="H243" s="37">
        <f t="shared" si="199"/>
        <v>336.41999999999996</v>
      </c>
      <c r="I243" s="133">
        <f>I$242</f>
        <v>0.02</v>
      </c>
      <c r="J243" s="240">
        <f>J$242</f>
        <v>38</v>
      </c>
      <c r="K243" s="38">
        <f t="shared" si="200"/>
        <v>0.76</v>
      </c>
      <c r="L243" s="38">
        <f>L$242</f>
        <v>0.85</v>
      </c>
      <c r="M243" s="39">
        <f t="shared" si="201"/>
        <v>1.6099999999999999</v>
      </c>
      <c r="N243" s="41">
        <f t="shared" si="202"/>
        <v>541.63619999999992</v>
      </c>
      <c r="P243" s="318">
        <f t="shared" si="179"/>
        <v>255.67919999999998</v>
      </c>
      <c r="Q243" s="319">
        <f t="shared" si="180"/>
        <v>285.95699999999994</v>
      </c>
    </row>
    <row r="244" spans="1:18" ht="47.25" x14ac:dyDescent="0.2">
      <c r="A244" s="112">
        <f>IF(G244&lt;&gt;"",1+MAX($A$2:A243),"")</f>
        <v>160</v>
      </c>
      <c r="B244" s="359"/>
      <c r="C244" s="359"/>
      <c r="D244" s="160" t="s">
        <v>244</v>
      </c>
      <c r="E244" s="35" t="s">
        <v>7</v>
      </c>
      <c r="F244" s="37">
        <f>29.3*12</f>
        <v>351.6</v>
      </c>
      <c r="G244" s="36">
        <v>0.05</v>
      </c>
      <c r="H244" s="37">
        <f t="shared" si="199"/>
        <v>369.18</v>
      </c>
      <c r="I244" s="133">
        <f t="shared" ref="I244:J247" si="203">I$242</f>
        <v>0.02</v>
      </c>
      <c r="J244" s="240">
        <f t="shared" si="203"/>
        <v>38</v>
      </c>
      <c r="K244" s="38">
        <f t="shared" ref="K244:K247" si="204">I244*J244</f>
        <v>0.76</v>
      </c>
      <c r="L244" s="38">
        <f t="shared" ref="L244:L247" si="205">L$242</f>
        <v>0.85</v>
      </c>
      <c r="M244" s="39">
        <f t="shared" si="201"/>
        <v>1.6099999999999999</v>
      </c>
      <c r="N244" s="41">
        <f t="shared" si="202"/>
        <v>594.37979999999993</v>
      </c>
      <c r="P244" s="318">
        <f t="shared" si="179"/>
        <v>280.57679999999999</v>
      </c>
      <c r="Q244" s="319">
        <f t="shared" si="180"/>
        <v>313.803</v>
      </c>
    </row>
    <row r="245" spans="1:18" ht="47.25" x14ac:dyDescent="0.2">
      <c r="A245" s="112">
        <f>IF(G245&lt;&gt;"",1+MAX($A$2:A244),"")</f>
        <v>161</v>
      </c>
      <c r="B245" s="359"/>
      <c r="C245" s="359"/>
      <c r="D245" s="160" t="s">
        <v>245</v>
      </c>
      <c r="E245" s="35" t="s">
        <v>7</v>
      </c>
      <c r="F245" s="37">
        <f>30.8*12</f>
        <v>369.6</v>
      </c>
      <c r="G245" s="36">
        <v>0.05</v>
      </c>
      <c r="H245" s="37">
        <f t="shared" si="199"/>
        <v>388.08000000000004</v>
      </c>
      <c r="I245" s="133">
        <f t="shared" si="203"/>
        <v>0.02</v>
      </c>
      <c r="J245" s="240">
        <f t="shared" si="203"/>
        <v>38</v>
      </c>
      <c r="K245" s="38">
        <f t="shared" si="204"/>
        <v>0.76</v>
      </c>
      <c r="L245" s="38">
        <f t="shared" si="205"/>
        <v>0.85</v>
      </c>
      <c r="M245" s="39">
        <f t="shared" si="201"/>
        <v>1.6099999999999999</v>
      </c>
      <c r="N245" s="41">
        <f t="shared" si="202"/>
        <v>624.80880000000002</v>
      </c>
      <c r="P245" s="318">
        <f t="shared" si="179"/>
        <v>294.94080000000002</v>
      </c>
      <c r="Q245" s="319">
        <f t="shared" si="180"/>
        <v>329.86800000000005</v>
      </c>
    </row>
    <row r="246" spans="1:18" ht="31.5" x14ac:dyDescent="0.2">
      <c r="A246" s="112">
        <f>IF(G246&lt;&gt;"",1+MAX($A$2:A245),"")</f>
        <v>162</v>
      </c>
      <c r="B246" s="359"/>
      <c r="C246" s="359"/>
      <c r="D246" s="160" t="s">
        <v>246</v>
      </c>
      <c r="E246" s="35" t="s">
        <v>7</v>
      </c>
      <c r="F246" s="37">
        <f>21*9.75</f>
        <v>204.75</v>
      </c>
      <c r="G246" s="36">
        <v>0.05</v>
      </c>
      <c r="H246" s="37">
        <f t="shared" si="199"/>
        <v>214.98750000000001</v>
      </c>
      <c r="I246" s="133">
        <f t="shared" si="203"/>
        <v>0.02</v>
      </c>
      <c r="J246" s="240">
        <f t="shared" si="203"/>
        <v>38</v>
      </c>
      <c r="K246" s="38">
        <f t="shared" si="204"/>
        <v>0.76</v>
      </c>
      <c r="L246" s="38">
        <f t="shared" si="205"/>
        <v>0.85</v>
      </c>
      <c r="M246" s="39">
        <f t="shared" si="201"/>
        <v>1.6099999999999999</v>
      </c>
      <c r="N246" s="41">
        <f t="shared" si="202"/>
        <v>346.12987499999997</v>
      </c>
      <c r="P246" s="318">
        <f t="shared" si="179"/>
        <v>163.3905</v>
      </c>
      <c r="Q246" s="319">
        <f t="shared" si="180"/>
        <v>182.739375</v>
      </c>
    </row>
    <row r="247" spans="1:18" ht="47.25" x14ac:dyDescent="0.2">
      <c r="A247" s="112">
        <f>IF(G247&lt;&gt;"",1+MAX($A$2:A246),"")</f>
        <v>163</v>
      </c>
      <c r="B247" s="359"/>
      <c r="C247" s="359"/>
      <c r="D247" s="160" t="s">
        <v>247</v>
      </c>
      <c r="E247" s="35" t="s">
        <v>7</v>
      </c>
      <c r="F247" s="37">
        <f>22.7*9.75</f>
        <v>221.32499999999999</v>
      </c>
      <c r="G247" s="36">
        <v>0.05</v>
      </c>
      <c r="H247" s="37">
        <f t="shared" si="199"/>
        <v>232.39124999999999</v>
      </c>
      <c r="I247" s="133">
        <f>I$242</f>
        <v>0.02</v>
      </c>
      <c r="J247" s="240">
        <f t="shared" si="203"/>
        <v>38</v>
      </c>
      <c r="K247" s="38">
        <f t="shared" si="204"/>
        <v>0.76</v>
      </c>
      <c r="L247" s="38">
        <f t="shared" si="205"/>
        <v>0.85</v>
      </c>
      <c r="M247" s="39">
        <f t="shared" si="201"/>
        <v>1.6099999999999999</v>
      </c>
      <c r="N247" s="41">
        <f t="shared" si="202"/>
        <v>374.14991249999997</v>
      </c>
      <c r="P247" s="318">
        <f t="shared" si="179"/>
        <v>176.61734999999999</v>
      </c>
      <c r="Q247" s="319">
        <f t="shared" si="180"/>
        <v>197.53256249999998</v>
      </c>
    </row>
    <row r="248" spans="1:18" ht="94.15" customHeight="1" x14ac:dyDescent="0.2">
      <c r="A248" s="112" t="str">
        <f>IF(G248&lt;&gt;"",1+MAX($A$2:A247),"")</f>
        <v/>
      </c>
      <c r="B248" s="359"/>
      <c r="C248" s="352"/>
      <c r="D248" s="232" t="s">
        <v>248</v>
      </c>
      <c r="E248" s="234"/>
      <c r="F248" s="233"/>
      <c r="G248" s="36"/>
      <c r="H248" s="37"/>
      <c r="I248" s="133"/>
      <c r="J248" s="240"/>
      <c r="K248" s="38"/>
      <c r="L248" s="38"/>
      <c r="M248" s="39"/>
      <c r="N248" s="41"/>
      <c r="P248" s="318">
        <f t="shared" si="179"/>
        <v>0</v>
      </c>
      <c r="Q248" s="319">
        <f t="shared" si="180"/>
        <v>0</v>
      </c>
    </row>
    <row r="249" spans="1:18" ht="15.6" customHeight="1" x14ac:dyDescent="0.2">
      <c r="A249" s="112" t="str">
        <f>IF(G249&lt;&gt;"",1+MAX($A$2:A248),"")</f>
        <v/>
      </c>
      <c r="B249" s="359"/>
      <c r="C249" s="143"/>
      <c r="D249" s="136" t="s">
        <v>249</v>
      </c>
      <c r="E249" s="86"/>
      <c r="F249" s="37"/>
      <c r="G249" s="36"/>
      <c r="H249" s="37"/>
      <c r="I249" s="169"/>
      <c r="J249" s="243"/>
      <c r="K249" s="38"/>
      <c r="L249" s="38"/>
      <c r="M249" s="39"/>
      <c r="N249" s="41"/>
      <c r="P249" s="318">
        <f t="shared" si="179"/>
        <v>0</v>
      </c>
      <c r="Q249" s="319">
        <f t="shared" si="180"/>
        <v>0</v>
      </c>
    </row>
    <row r="250" spans="1:18" ht="15.75" x14ac:dyDescent="0.2">
      <c r="A250" s="112">
        <f>IF(G250&lt;&gt;"",1+MAX($A$2:A249),"")</f>
        <v>164</v>
      </c>
      <c r="B250" s="352"/>
      <c r="C250" s="143" t="s">
        <v>250</v>
      </c>
      <c r="D250" s="160" t="s">
        <v>251</v>
      </c>
      <c r="E250" s="35" t="s">
        <v>7</v>
      </c>
      <c r="F250" s="37">
        <f>30*5.5</f>
        <v>165</v>
      </c>
      <c r="G250" s="36">
        <v>0.05</v>
      </c>
      <c r="H250" s="37">
        <f>(G250*F250)+F250</f>
        <v>173.25</v>
      </c>
      <c r="I250" s="133">
        <v>2.1999999999999999E-2</v>
      </c>
      <c r="J250" s="240">
        <v>38</v>
      </c>
      <c r="K250" s="38">
        <f t="shared" ref="K250" si="206">I250*J250</f>
        <v>0.83599999999999997</v>
      </c>
      <c r="L250" s="38">
        <v>1.02</v>
      </c>
      <c r="M250" s="39">
        <f>+L250+K250</f>
        <v>1.8559999999999999</v>
      </c>
      <c r="N250" s="41">
        <f>H250*M250</f>
        <v>321.55199999999996</v>
      </c>
      <c r="P250" s="318">
        <f t="shared" si="179"/>
        <v>144.83699999999999</v>
      </c>
      <c r="Q250" s="319">
        <f t="shared" si="180"/>
        <v>176.715</v>
      </c>
    </row>
    <row r="251" spans="1:18" ht="15.6" customHeight="1" x14ac:dyDescent="0.2">
      <c r="A251" s="67" t="str">
        <f>IF(G251&lt;&gt;"",1+MAX($A$2:A250),"")</f>
        <v/>
      </c>
      <c r="B251" s="351" t="s">
        <v>112</v>
      </c>
      <c r="C251" s="351" t="s">
        <v>146</v>
      </c>
      <c r="D251" s="136" t="s">
        <v>141</v>
      </c>
      <c r="E251" s="86"/>
      <c r="F251" s="37"/>
      <c r="G251" s="36"/>
      <c r="H251" s="37"/>
      <c r="I251" s="169"/>
      <c r="J251" s="243"/>
      <c r="K251" s="38"/>
      <c r="L251" s="38"/>
      <c r="M251" s="39"/>
      <c r="N251" s="41"/>
      <c r="O251" s="9"/>
      <c r="P251" s="318">
        <f t="shared" si="179"/>
        <v>0</v>
      </c>
      <c r="Q251" s="319">
        <f t="shared" si="180"/>
        <v>0</v>
      </c>
      <c r="R251" s="9"/>
    </row>
    <row r="252" spans="1:18" ht="15.75" x14ac:dyDescent="0.2">
      <c r="A252" s="67">
        <f>IF(G252&lt;&gt;"",1+MAX($A$2:A251),"")</f>
        <v>165</v>
      </c>
      <c r="B252" s="359"/>
      <c r="C252" s="359"/>
      <c r="D252" s="27" t="s">
        <v>143</v>
      </c>
      <c r="E252" s="35" t="s">
        <v>7</v>
      </c>
      <c r="F252" s="37">
        <v>480</v>
      </c>
      <c r="G252" s="36">
        <v>0.05</v>
      </c>
      <c r="H252" s="37">
        <f>(G252*F252)+F252</f>
        <v>504</v>
      </c>
      <c r="I252" s="133">
        <v>2.8000000000000001E-2</v>
      </c>
      <c r="J252" s="240">
        <f t="shared" ref="J252:J254" si="207">J$242</f>
        <v>38</v>
      </c>
      <c r="K252" s="38">
        <f t="shared" ref="K252:K263" si="208">I252*J252</f>
        <v>1.0640000000000001</v>
      </c>
      <c r="L252" s="38">
        <v>1.1200000000000001</v>
      </c>
      <c r="M252" s="39">
        <f t="shared" ref="M252" si="209">+L252+K252</f>
        <v>2.1840000000000002</v>
      </c>
      <c r="N252" s="41">
        <f>H252*M252</f>
        <v>1100.7360000000001</v>
      </c>
      <c r="O252" s="9"/>
      <c r="P252" s="318">
        <f t="shared" si="179"/>
        <v>536.25600000000009</v>
      </c>
      <c r="Q252" s="319">
        <f t="shared" si="180"/>
        <v>564.48</v>
      </c>
      <c r="R252" s="9"/>
    </row>
    <row r="253" spans="1:18" ht="15.75" x14ac:dyDescent="0.2">
      <c r="A253" s="67">
        <f>IF(G253&lt;&gt;"",1+MAX($A$2:A252),"")</f>
        <v>166</v>
      </c>
      <c r="B253" s="359"/>
      <c r="C253" s="359"/>
      <c r="D253" s="27" t="s">
        <v>144</v>
      </c>
      <c r="E253" s="35" t="s">
        <v>7</v>
      </c>
      <c r="F253" s="37">
        <v>275</v>
      </c>
      <c r="G253" s="36">
        <v>0.05</v>
      </c>
      <c r="H253" s="37">
        <f>(G253*F253)+F253</f>
        <v>288.75</v>
      </c>
      <c r="I253" s="133">
        <f>I$252</f>
        <v>2.8000000000000001E-2</v>
      </c>
      <c r="J253" s="240">
        <f t="shared" si="207"/>
        <v>38</v>
      </c>
      <c r="K253" s="38">
        <f t="shared" si="208"/>
        <v>1.0640000000000001</v>
      </c>
      <c r="L253" s="38">
        <f>L$252</f>
        <v>1.1200000000000001</v>
      </c>
      <c r="M253" s="39">
        <f>+L253+K253</f>
        <v>2.1840000000000002</v>
      </c>
      <c r="N253" s="41">
        <f>H253*M253</f>
        <v>630.63</v>
      </c>
      <c r="O253" s="9"/>
      <c r="P253" s="318">
        <f t="shared" si="179"/>
        <v>307.23</v>
      </c>
      <c r="Q253" s="319">
        <f t="shared" si="180"/>
        <v>323.40000000000003</v>
      </c>
      <c r="R253" s="9"/>
    </row>
    <row r="254" spans="1:18" ht="15.75" x14ac:dyDescent="0.2">
      <c r="A254" s="67">
        <f>IF(G254&lt;&gt;"",1+MAX($A$2:A253),"")</f>
        <v>167</v>
      </c>
      <c r="B254" s="359"/>
      <c r="C254" s="359"/>
      <c r="D254" s="27" t="s">
        <v>145</v>
      </c>
      <c r="E254" s="35" t="s">
        <v>7</v>
      </c>
      <c r="F254" s="37">
        <v>32</v>
      </c>
      <c r="G254" s="36">
        <v>0.05</v>
      </c>
      <c r="H254" s="37">
        <f>(G254*F254)+F254</f>
        <v>33.6</v>
      </c>
      <c r="I254" s="133">
        <f>I$252</f>
        <v>2.8000000000000001E-2</v>
      </c>
      <c r="J254" s="240">
        <f t="shared" si="207"/>
        <v>38</v>
      </c>
      <c r="K254" s="38">
        <f t="shared" ref="K254" si="210">I254*J254</f>
        <v>1.0640000000000001</v>
      </c>
      <c r="L254" s="38">
        <f>L$252</f>
        <v>1.1200000000000001</v>
      </c>
      <c r="M254" s="39">
        <f t="shared" ref="M254" si="211">+L254+K254</f>
        <v>2.1840000000000002</v>
      </c>
      <c r="N254" s="41">
        <f>H254*M254</f>
        <v>73.382400000000004</v>
      </c>
      <c r="O254" s="9"/>
      <c r="P254" s="318">
        <f t="shared" si="179"/>
        <v>35.750400000000006</v>
      </c>
      <c r="Q254" s="319">
        <f t="shared" si="180"/>
        <v>37.632000000000005</v>
      </c>
      <c r="R254" s="9"/>
    </row>
    <row r="255" spans="1:18" ht="15.75" x14ac:dyDescent="0.2">
      <c r="A255" s="67" t="str">
        <f>IF(G255&lt;&gt;"",1+MAX($A$2:A254),"")</f>
        <v/>
      </c>
      <c r="B255" s="359"/>
      <c r="C255" s="359"/>
      <c r="D255" s="162" t="s">
        <v>142</v>
      </c>
      <c r="E255" s="59"/>
      <c r="F255" s="37"/>
      <c r="G255" s="36"/>
      <c r="H255" s="37"/>
      <c r="I255" s="133"/>
      <c r="J255" s="240"/>
      <c r="K255" s="38"/>
      <c r="L255" s="38"/>
      <c r="M255" s="39"/>
      <c r="N255" s="41"/>
      <c r="O255" s="9"/>
      <c r="P255" s="318">
        <f t="shared" si="179"/>
        <v>0</v>
      </c>
      <c r="Q255" s="319">
        <f t="shared" si="180"/>
        <v>0</v>
      </c>
      <c r="R255" s="9"/>
    </row>
    <row r="256" spans="1:18" ht="47.25" x14ac:dyDescent="0.2">
      <c r="A256" s="67">
        <f>IF(G256&lt;&gt;"",1+MAX($A$2:A255),"")</f>
        <v>168</v>
      </c>
      <c r="B256" s="352"/>
      <c r="C256" s="352"/>
      <c r="D256" s="160" t="s">
        <v>147</v>
      </c>
      <c r="E256" s="35" t="s">
        <v>34</v>
      </c>
      <c r="F256" s="37">
        <v>425</v>
      </c>
      <c r="G256" s="36">
        <v>0.05</v>
      </c>
      <c r="H256" s="37">
        <f>(G256*F256)+F256</f>
        <v>446.25</v>
      </c>
      <c r="I256" s="133">
        <v>1.2E-2</v>
      </c>
      <c r="J256" s="240">
        <f>J$242</f>
        <v>38</v>
      </c>
      <c r="K256" s="38">
        <f t="shared" ref="K256" si="212">I256*J256</f>
        <v>0.45600000000000002</v>
      </c>
      <c r="L256" s="38">
        <v>0.42</v>
      </c>
      <c r="M256" s="39">
        <f t="shared" ref="M256" si="213">+L256+K256</f>
        <v>0.876</v>
      </c>
      <c r="N256" s="41">
        <f>H256*M256</f>
        <v>390.91500000000002</v>
      </c>
      <c r="O256" s="9"/>
      <c r="P256" s="318">
        <f t="shared" si="179"/>
        <v>203.49</v>
      </c>
      <c r="Q256" s="319">
        <f t="shared" si="180"/>
        <v>187.42499999999998</v>
      </c>
      <c r="R256" s="9"/>
    </row>
    <row r="257" spans="1:18" ht="15.6" customHeight="1" x14ac:dyDescent="0.2">
      <c r="A257" s="112" t="str">
        <f>IF(G257&lt;&gt;"",1+MAX($A$2:A256),"")</f>
        <v/>
      </c>
      <c r="B257" s="223"/>
      <c r="C257" s="143"/>
      <c r="D257" s="136" t="s">
        <v>431</v>
      </c>
      <c r="E257" s="86"/>
      <c r="F257" s="37"/>
      <c r="G257" s="36"/>
      <c r="H257" s="37"/>
      <c r="I257" s="169"/>
      <c r="J257" s="243"/>
      <c r="K257" s="38"/>
      <c r="L257" s="38"/>
      <c r="M257" s="39"/>
      <c r="N257" s="41"/>
      <c r="P257" s="318">
        <f t="shared" si="179"/>
        <v>0</v>
      </c>
      <c r="Q257" s="319">
        <f t="shared" si="180"/>
        <v>0</v>
      </c>
    </row>
    <row r="258" spans="1:18" ht="15.75" x14ac:dyDescent="0.2">
      <c r="A258" s="112">
        <f>IF(G258&lt;&gt;"",1+MAX($A$2:A257),"")</f>
        <v>169</v>
      </c>
      <c r="B258" s="223" t="s">
        <v>134</v>
      </c>
      <c r="C258" s="143" t="s">
        <v>136</v>
      </c>
      <c r="D258" s="160" t="s">
        <v>432</v>
      </c>
      <c r="E258" s="35" t="s">
        <v>7</v>
      </c>
      <c r="F258" s="37">
        <f>70*2</f>
        <v>140</v>
      </c>
      <c r="G258" s="36">
        <v>0.05</v>
      </c>
      <c r="H258" s="37">
        <f>(G258*F258)+F258</f>
        <v>147</v>
      </c>
      <c r="I258" s="133">
        <v>0.03</v>
      </c>
      <c r="J258" s="240">
        <f>J$242</f>
        <v>38</v>
      </c>
      <c r="K258" s="38">
        <f t="shared" ref="K258" si="214">I258*J258</f>
        <v>1.1399999999999999</v>
      </c>
      <c r="L258" s="38">
        <v>0.85</v>
      </c>
      <c r="M258" s="39">
        <f>+L258+K258</f>
        <v>1.9899999999999998</v>
      </c>
      <c r="N258" s="41">
        <f>H258*M258</f>
        <v>292.52999999999997</v>
      </c>
      <c r="P258" s="318">
        <f t="shared" si="179"/>
        <v>167.57999999999998</v>
      </c>
      <c r="Q258" s="319">
        <f t="shared" si="180"/>
        <v>124.95</v>
      </c>
    </row>
    <row r="259" spans="1:18" ht="18" customHeight="1" x14ac:dyDescent="0.25">
      <c r="A259" s="61" t="str">
        <f>IF(G259&lt;&gt;"",1+MAX($A$2:A258),"")</f>
        <v/>
      </c>
      <c r="B259" s="229"/>
      <c r="C259" s="155"/>
      <c r="D259" s="226" t="s">
        <v>62</v>
      </c>
      <c r="E259" s="230"/>
      <c r="F259" s="97"/>
      <c r="G259" s="65"/>
      <c r="H259" s="37"/>
      <c r="I259" s="170"/>
      <c r="J259" s="246"/>
      <c r="K259" s="60"/>
      <c r="L259" s="60"/>
      <c r="M259" s="39"/>
      <c r="N259" s="41"/>
      <c r="O259" s="9"/>
      <c r="P259" s="318">
        <f t="shared" si="179"/>
        <v>0</v>
      </c>
      <c r="Q259" s="319">
        <f t="shared" si="180"/>
        <v>0</v>
      </c>
      <c r="R259" s="9"/>
    </row>
    <row r="260" spans="1:18" ht="15.6" customHeight="1" x14ac:dyDescent="0.2">
      <c r="A260" s="67" t="str">
        <f>IF(G260&lt;&gt;"",1+MAX($A$2:A259),"")</f>
        <v/>
      </c>
      <c r="B260" s="229"/>
      <c r="C260" s="143"/>
      <c r="D260" s="136" t="s">
        <v>94</v>
      </c>
      <c r="E260" s="86"/>
      <c r="F260" s="37"/>
      <c r="G260" s="36"/>
      <c r="H260" s="37"/>
      <c r="I260" s="169"/>
      <c r="J260" s="243"/>
      <c r="K260" s="38"/>
      <c r="L260" s="38"/>
      <c r="M260" s="39"/>
      <c r="N260" s="41"/>
      <c r="O260" s="9"/>
      <c r="P260" s="318">
        <f t="shared" si="179"/>
        <v>0</v>
      </c>
      <c r="Q260" s="319">
        <f t="shared" si="180"/>
        <v>0</v>
      </c>
      <c r="R260" s="9"/>
    </row>
    <row r="261" spans="1:18" ht="15.75" x14ac:dyDescent="0.2">
      <c r="A261" s="67">
        <f>IF(G261&lt;&gt;"",1+MAX($A$2:A260),"")</f>
        <v>170</v>
      </c>
      <c r="B261" s="229" t="s">
        <v>112</v>
      </c>
      <c r="C261" s="143" t="s">
        <v>126</v>
      </c>
      <c r="D261" s="27" t="s">
        <v>125</v>
      </c>
      <c r="E261" s="35" t="s">
        <v>34</v>
      </c>
      <c r="F261" s="37">
        <f>14*3</f>
        <v>42</v>
      </c>
      <c r="G261" s="36">
        <v>0.05</v>
      </c>
      <c r="H261" s="37">
        <f>(G261*F261)+F261</f>
        <v>44.1</v>
      </c>
      <c r="I261" s="133">
        <v>1.4E-2</v>
      </c>
      <c r="J261" s="240">
        <v>40</v>
      </c>
      <c r="K261" s="38">
        <f t="shared" si="208"/>
        <v>0.56000000000000005</v>
      </c>
      <c r="L261" s="38">
        <v>3.45</v>
      </c>
      <c r="M261" s="39">
        <f t="shared" ref="M261:M263" si="215">+L261+K261</f>
        <v>4.01</v>
      </c>
      <c r="N261" s="41">
        <f>H261*M261</f>
        <v>176.84100000000001</v>
      </c>
      <c r="O261" s="9"/>
      <c r="P261" s="318">
        <f t="shared" si="179"/>
        <v>24.696000000000002</v>
      </c>
      <c r="Q261" s="319">
        <f t="shared" si="180"/>
        <v>152.14500000000001</v>
      </c>
      <c r="R261" s="9"/>
    </row>
    <row r="262" spans="1:18" ht="15.75" x14ac:dyDescent="0.2">
      <c r="A262" s="67">
        <f>IF(G262&lt;&gt;"",1+MAX($A$2:A261),"")</f>
        <v>171</v>
      </c>
      <c r="B262" s="351" t="s">
        <v>131</v>
      </c>
      <c r="C262" s="351" t="s">
        <v>136</v>
      </c>
      <c r="D262" s="27" t="s">
        <v>137</v>
      </c>
      <c r="E262" s="35" t="s">
        <v>34</v>
      </c>
      <c r="F262" s="37">
        <v>155</v>
      </c>
      <c r="G262" s="36">
        <v>0.05</v>
      </c>
      <c r="H262" s="37">
        <f t="shared" ref="H262:H263" si="216">(G262*F262)+F262</f>
        <v>162.75</v>
      </c>
      <c r="I262" s="133">
        <v>1.4E-2</v>
      </c>
      <c r="J262" s="240">
        <f>J$261</f>
        <v>40</v>
      </c>
      <c r="K262" s="38">
        <f t="shared" si="208"/>
        <v>0.56000000000000005</v>
      </c>
      <c r="L262" s="38">
        <v>3.45</v>
      </c>
      <c r="M262" s="39">
        <f t="shared" si="215"/>
        <v>4.01</v>
      </c>
      <c r="N262" s="41">
        <f>H262*M262</f>
        <v>652.62749999999994</v>
      </c>
      <c r="O262" s="9"/>
      <c r="P262" s="318">
        <f t="shared" si="179"/>
        <v>91.140000000000015</v>
      </c>
      <c r="Q262" s="319">
        <f t="shared" si="180"/>
        <v>561.48750000000007</v>
      </c>
      <c r="R262" s="9"/>
    </row>
    <row r="263" spans="1:18" ht="31.5" x14ac:dyDescent="0.2">
      <c r="A263" s="67">
        <f>IF(G263&lt;&gt;"",1+MAX($A$2:A262),"")</f>
        <v>172</v>
      </c>
      <c r="B263" s="352"/>
      <c r="C263" s="352"/>
      <c r="D263" s="160" t="s">
        <v>138</v>
      </c>
      <c r="E263" s="35" t="s">
        <v>34</v>
      </c>
      <c r="F263" s="37">
        <v>60</v>
      </c>
      <c r="G263" s="36">
        <v>0.05</v>
      </c>
      <c r="H263" s="37">
        <f t="shared" si="216"/>
        <v>63</v>
      </c>
      <c r="I263" s="133">
        <v>2.1000000000000001E-2</v>
      </c>
      <c r="J263" s="240">
        <f>J$261</f>
        <v>40</v>
      </c>
      <c r="K263" s="38">
        <f t="shared" si="208"/>
        <v>0.84000000000000008</v>
      </c>
      <c r="L263" s="38">
        <v>8.5</v>
      </c>
      <c r="M263" s="39">
        <f t="shared" si="215"/>
        <v>9.34</v>
      </c>
      <c r="N263" s="41">
        <f>H263*M263</f>
        <v>588.41999999999996</v>
      </c>
      <c r="O263" s="9"/>
      <c r="P263" s="318">
        <f t="shared" si="179"/>
        <v>52.92</v>
      </c>
      <c r="Q263" s="319">
        <f t="shared" si="180"/>
        <v>535.5</v>
      </c>
      <c r="R263" s="9"/>
    </row>
    <row r="264" spans="1:18" s="1" customFormat="1" ht="15" customHeight="1" x14ac:dyDescent="0.2">
      <c r="A264" s="42" t="str">
        <f>IF(G264&lt;&gt;"",1+MAX($A$2:A263),"")</f>
        <v/>
      </c>
      <c r="B264" s="152"/>
      <c r="C264" s="152"/>
      <c r="D264" s="43"/>
      <c r="E264" s="43"/>
      <c r="F264" s="43"/>
      <c r="G264" s="43"/>
      <c r="H264" s="43"/>
      <c r="I264" s="256"/>
      <c r="J264" s="241"/>
      <c r="K264" s="44"/>
      <c r="L264" s="44"/>
      <c r="M264" s="45" t="s">
        <v>22</v>
      </c>
      <c r="N264" s="46">
        <f>SUM(N191:N263)</f>
        <v>116605.87161885443</v>
      </c>
      <c r="O264" s="4"/>
      <c r="P264" s="318">
        <f t="shared" si="179"/>
        <v>0</v>
      </c>
      <c r="Q264" s="319">
        <f t="shared" si="180"/>
        <v>0</v>
      </c>
      <c r="R264" s="4"/>
    </row>
    <row r="265" spans="1:18" s="1" customFormat="1" ht="15.75" x14ac:dyDescent="0.2">
      <c r="A265" s="98" t="str">
        <f>IF(G265&lt;&gt;"",1+MAX($A$2:A264),"")</f>
        <v/>
      </c>
      <c r="B265" s="101"/>
      <c r="C265" s="101"/>
      <c r="D265" s="100"/>
      <c r="E265" s="101"/>
      <c r="F265" s="102"/>
      <c r="G265" s="99"/>
      <c r="H265" s="99"/>
      <c r="I265" s="103"/>
      <c r="J265" s="247"/>
      <c r="K265" s="104"/>
      <c r="L265" s="104"/>
      <c r="M265" s="105"/>
      <c r="N265" s="106"/>
      <c r="O265" s="9"/>
      <c r="P265" s="318">
        <f t="shared" si="179"/>
        <v>0</v>
      </c>
      <c r="Q265" s="319">
        <f t="shared" si="180"/>
        <v>0</v>
      </c>
      <c r="R265" s="9"/>
    </row>
    <row r="266" spans="1:18" customFormat="1" ht="18" customHeight="1" x14ac:dyDescent="0.2">
      <c r="A266" s="50" t="str">
        <f>IF(G266&lt;&gt;"",1+MAX($A$2:A265),"")</f>
        <v/>
      </c>
      <c r="B266" s="151"/>
      <c r="C266" s="165"/>
      <c r="D266" s="166"/>
      <c r="E266" s="53" t="s">
        <v>64</v>
      </c>
      <c r="F266" s="54"/>
      <c r="G266" s="54"/>
      <c r="H266" s="54"/>
      <c r="I266" s="167"/>
      <c r="J266" s="239"/>
      <c r="K266" s="54"/>
      <c r="L266" s="54"/>
      <c r="M266" s="55"/>
      <c r="N266" s="56"/>
      <c r="P266" s="318">
        <f t="shared" si="179"/>
        <v>0</v>
      </c>
      <c r="Q266" s="319">
        <f t="shared" si="180"/>
        <v>0</v>
      </c>
    </row>
    <row r="267" spans="1:18" ht="18" customHeight="1" x14ac:dyDescent="0.25">
      <c r="A267" s="84" t="str">
        <f>IF(G267&lt;&gt;"",1+MAX($A$2:A266),"")</f>
        <v/>
      </c>
      <c r="B267" s="145"/>
      <c r="C267" s="150"/>
      <c r="D267" s="360" t="s">
        <v>252</v>
      </c>
      <c r="E267" s="361"/>
      <c r="F267" s="64"/>
      <c r="G267" s="65"/>
      <c r="H267" s="37"/>
      <c r="I267" s="66"/>
      <c r="J267" s="242"/>
      <c r="K267" s="60"/>
      <c r="L267" s="60"/>
      <c r="M267" s="39"/>
      <c r="N267" s="41"/>
      <c r="P267" s="318">
        <f t="shared" si="179"/>
        <v>0</v>
      </c>
      <c r="Q267" s="319">
        <f t="shared" si="180"/>
        <v>0</v>
      </c>
    </row>
    <row r="268" spans="1:18" ht="15.75" x14ac:dyDescent="0.2">
      <c r="A268" s="67">
        <f>IF(G268&lt;&gt;"",1+MAX($A$2:A267),"")</f>
        <v>173</v>
      </c>
      <c r="B268" s="351" t="s">
        <v>134</v>
      </c>
      <c r="C268" s="86" t="s">
        <v>253</v>
      </c>
      <c r="D268" s="160" t="s">
        <v>254</v>
      </c>
      <c r="E268" s="218" t="s">
        <v>32</v>
      </c>
      <c r="F268" s="37">
        <v>10</v>
      </c>
      <c r="G268" s="36">
        <v>0</v>
      </c>
      <c r="H268" s="37">
        <f t="shared" ref="H268" si="217">(G268*F268)+F268</f>
        <v>10</v>
      </c>
      <c r="I268" s="133">
        <v>0.32</v>
      </c>
      <c r="J268" s="240">
        <v>48</v>
      </c>
      <c r="K268" s="38">
        <f>I268*J268</f>
        <v>15.36</v>
      </c>
      <c r="L268" s="38">
        <f>98.5</f>
        <v>98.5</v>
      </c>
      <c r="M268" s="39">
        <f t="shared" ref="M268" si="218">+L268+K268</f>
        <v>113.86</v>
      </c>
      <c r="N268" s="41">
        <f t="shared" ref="N268" si="219">H268*M268</f>
        <v>1138.5999999999999</v>
      </c>
      <c r="P268" s="318">
        <f t="shared" si="179"/>
        <v>153.6</v>
      </c>
      <c r="Q268" s="319">
        <f t="shared" si="180"/>
        <v>985</v>
      </c>
    </row>
    <row r="269" spans="1:18" ht="18" customHeight="1" x14ac:dyDescent="0.25">
      <c r="A269" s="84" t="str">
        <f>IF(G269&lt;&gt;"",1+MAX($A$2:A268),"")</f>
        <v/>
      </c>
      <c r="B269" s="359"/>
      <c r="C269" s="150"/>
      <c r="D269" s="360" t="s">
        <v>255</v>
      </c>
      <c r="E269" s="361"/>
      <c r="F269" s="64"/>
      <c r="G269" s="65"/>
      <c r="H269" s="37"/>
      <c r="I269" s="66"/>
      <c r="J269" s="242"/>
      <c r="K269" s="60"/>
      <c r="L269" s="60"/>
      <c r="M269" s="39"/>
      <c r="N269" s="41"/>
      <c r="P269" s="318">
        <f t="shared" si="179"/>
        <v>0</v>
      </c>
      <c r="Q269" s="319">
        <f t="shared" si="180"/>
        <v>0</v>
      </c>
    </row>
    <row r="270" spans="1:18" ht="31.5" x14ac:dyDescent="0.2">
      <c r="A270" s="67">
        <f>IF(G270&lt;&gt;"",1+MAX($A$2:A269),"")</f>
        <v>174</v>
      </c>
      <c r="B270" s="352"/>
      <c r="C270" s="172" t="s">
        <v>256</v>
      </c>
      <c r="D270" s="160" t="s">
        <v>257</v>
      </c>
      <c r="E270" s="218" t="s">
        <v>32</v>
      </c>
      <c r="F270" s="37">
        <v>1</v>
      </c>
      <c r="G270" s="36">
        <v>0</v>
      </c>
      <c r="H270" s="37">
        <f t="shared" ref="H270" si="220">(G270*F270)+F270</f>
        <v>1</v>
      </c>
      <c r="I270" s="133">
        <v>0.35</v>
      </c>
      <c r="J270" s="240">
        <f>J$268</f>
        <v>48</v>
      </c>
      <c r="K270" s="38">
        <f>I270*J270</f>
        <v>16.799999999999997</v>
      </c>
      <c r="L270" s="38">
        <v>64.95</v>
      </c>
      <c r="M270" s="39">
        <f t="shared" ref="M270" si="221">+L270+K270</f>
        <v>81.75</v>
      </c>
      <c r="N270" s="41">
        <f t="shared" ref="N270" si="222">H270*M270</f>
        <v>81.75</v>
      </c>
      <c r="P270" s="318">
        <f t="shared" si="179"/>
        <v>16.799999999999997</v>
      </c>
      <c r="Q270" s="319">
        <f t="shared" si="180"/>
        <v>64.95</v>
      </c>
    </row>
    <row r="271" spans="1:18" s="1" customFormat="1" ht="15" customHeight="1" x14ac:dyDescent="0.2">
      <c r="A271" s="42" t="str">
        <f>IF(G271&lt;&gt;"",1+MAX($A$2:A270),"")</f>
        <v/>
      </c>
      <c r="B271" s="152"/>
      <c r="C271" s="152"/>
      <c r="D271" s="43"/>
      <c r="E271" s="43"/>
      <c r="F271" s="43"/>
      <c r="G271" s="43"/>
      <c r="H271" s="43"/>
      <c r="I271" s="256"/>
      <c r="J271" s="241"/>
      <c r="K271" s="44"/>
      <c r="L271" s="44"/>
      <c r="M271" s="45" t="s">
        <v>22</v>
      </c>
      <c r="N271" s="46">
        <f>SUM(N267:N270)</f>
        <v>1220.3499999999999</v>
      </c>
      <c r="O271" s="4"/>
      <c r="P271" s="318">
        <f t="shared" si="179"/>
        <v>0</v>
      </c>
      <c r="Q271" s="319">
        <f t="shared" si="180"/>
        <v>0</v>
      </c>
      <c r="R271" s="4"/>
    </row>
    <row r="272" spans="1:18" s="1" customFormat="1" ht="18" customHeight="1" x14ac:dyDescent="0.2">
      <c r="A272" s="61" t="str">
        <f>IF(G272&lt;&gt;"",1+MAX($A$2:A271),"")</f>
        <v/>
      </c>
      <c r="B272" s="155"/>
      <c r="C272" s="155"/>
      <c r="D272" s="100"/>
      <c r="E272" s="101"/>
      <c r="F272" s="107"/>
      <c r="G272" s="96"/>
      <c r="H272" s="96"/>
      <c r="I272" s="108"/>
      <c r="J272" s="248"/>
      <c r="K272" s="109"/>
      <c r="L272" s="109"/>
      <c r="M272" s="110"/>
      <c r="N272" s="111"/>
      <c r="P272" s="318">
        <f t="shared" si="179"/>
        <v>0</v>
      </c>
      <c r="Q272" s="319">
        <f t="shared" si="180"/>
        <v>0</v>
      </c>
    </row>
    <row r="273" spans="1:20" s="1" customFormat="1" ht="18" customHeight="1" x14ac:dyDescent="0.2">
      <c r="A273" s="50" t="str">
        <f>IF(G273&lt;&gt;"",1+MAX($A$2:A272),"")</f>
        <v/>
      </c>
      <c r="B273" s="151"/>
      <c r="C273" s="151"/>
      <c r="D273" s="52"/>
      <c r="E273" s="53" t="s">
        <v>82</v>
      </c>
      <c r="F273" s="54"/>
      <c r="G273" s="54"/>
      <c r="H273" s="54"/>
      <c r="I273" s="167"/>
      <c r="J273" s="239"/>
      <c r="K273" s="54"/>
      <c r="L273" s="54"/>
      <c r="M273" s="55"/>
      <c r="N273" s="56"/>
      <c r="O273" s="9"/>
      <c r="P273" s="318">
        <f t="shared" si="179"/>
        <v>0</v>
      </c>
      <c r="Q273" s="319">
        <f t="shared" si="180"/>
        <v>0</v>
      </c>
      <c r="R273" s="9"/>
    </row>
    <row r="274" spans="1:20" ht="18" customHeight="1" x14ac:dyDescent="0.25">
      <c r="A274" s="84" t="str">
        <f>IF(G274&lt;&gt;"",1+MAX($A$2:A273),"")</f>
        <v/>
      </c>
      <c r="B274" s="145"/>
      <c r="C274" s="150"/>
      <c r="D274" s="226" t="s">
        <v>128</v>
      </c>
      <c r="E274" s="135"/>
      <c r="F274" s="64"/>
      <c r="G274" s="65"/>
      <c r="H274" s="37"/>
      <c r="I274" s="66"/>
      <c r="J274" s="242"/>
      <c r="K274" s="60"/>
      <c r="L274" s="60"/>
      <c r="M274" s="39"/>
      <c r="N274" s="41"/>
      <c r="O274" s="9"/>
      <c r="P274" s="318">
        <f t="shared" si="179"/>
        <v>0</v>
      </c>
      <c r="Q274" s="319">
        <f t="shared" si="180"/>
        <v>0</v>
      </c>
      <c r="R274" s="9"/>
    </row>
    <row r="275" spans="1:20" ht="15.75" x14ac:dyDescent="0.2">
      <c r="A275" s="67">
        <f>IF(G275&lt;&gt;"",1+MAX($A$2:A274),"")</f>
        <v>175</v>
      </c>
      <c r="B275" s="351" t="s">
        <v>131</v>
      </c>
      <c r="C275" s="351" t="s">
        <v>130</v>
      </c>
      <c r="D275" s="27" t="s">
        <v>202</v>
      </c>
      <c r="E275" s="218" t="s">
        <v>7</v>
      </c>
      <c r="F275" s="37">
        <f>42*2</f>
        <v>84</v>
      </c>
      <c r="G275" s="36">
        <v>0.05</v>
      </c>
      <c r="H275" s="37">
        <f t="shared" ref="H275:H277" si="223">(G275*F275)+F275</f>
        <v>88.2</v>
      </c>
      <c r="I275" s="133">
        <v>3.2000000000000001E-2</v>
      </c>
      <c r="J275" s="240">
        <v>48</v>
      </c>
      <c r="K275" s="38">
        <f>I275*J275</f>
        <v>1.536</v>
      </c>
      <c r="L275" s="38">
        <v>28.17</v>
      </c>
      <c r="M275" s="39">
        <f>+L275+K275</f>
        <v>29.706000000000003</v>
      </c>
      <c r="N275" s="41">
        <f t="shared" ref="N275:N277" si="224">H275*M275</f>
        <v>2620.0692000000004</v>
      </c>
      <c r="O275" s="9"/>
      <c r="P275" s="318">
        <f t="shared" si="179"/>
        <v>135.4752</v>
      </c>
      <c r="Q275" s="319">
        <f t="shared" si="180"/>
        <v>2484.5940000000001</v>
      </c>
      <c r="R275" s="9"/>
    </row>
    <row r="276" spans="1:20" ht="15.75" x14ac:dyDescent="0.2">
      <c r="A276" s="67">
        <f>IF(G276&lt;&gt;"",1+MAX($A$2:A275),"")</f>
        <v>176</v>
      </c>
      <c r="B276" s="359"/>
      <c r="C276" s="359"/>
      <c r="D276" s="27" t="s">
        <v>197</v>
      </c>
      <c r="E276" s="35" t="s">
        <v>7</v>
      </c>
      <c r="F276" s="37">
        <v>460</v>
      </c>
      <c r="G276" s="36">
        <v>0.05</v>
      </c>
      <c r="H276" s="37">
        <f t="shared" si="223"/>
        <v>483</v>
      </c>
      <c r="I276" s="133">
        <v>0.02</v>
      </c>
      <c r="J276" s="240">
        <f>J$275</f>
        <v>48</v>
      </c>
      <c r="K276" s="38">
        <f t="shared" ref="K276:K277" si="225">I276*J276</f>
        <v>0.96</v>
      </c>
      <c r="L276" s="38">
        <v>2.5</v>
      </c>
      <c r="M276" s="39">
        <f t="shared" ref="M276:M277" si="226">+L276+K276</f>
        <v>3.46</v>
      </c>
      <c r="N276" s="41">
        <f t="shared" si="224"/>
        <v>1671.18</v>
      </c>
      <c r="O276" s="9"/>
      <c r="P276" s="318">
        <f t="shared" si="179"/>
        <v>463.68</v>
      </c>
      <c r="Q276" s="319">
        <f t="shared" si="180"/>
        <v>1207.5</v>
      </c>
      <c r="R276" s="9"/>
    </row>
    <row r="277" spans="1:20" ht="31.5" x14ac:dyDescent="0.2">
      <c r="A277" s="67">
        <f>IF(G277&lt;&gt;"",1+MAX($A$2:A276),"")</f>
        <v>177</v>
      </c>
      <c r="B277" s="352"/>
      <c r="C277" s="352"/>
      <c r="D277" s="160" t="s">
        <v>203</v>
      </c>
      <c r="E277" s="35" t="s">
        <v>7</v>
      </c>
      <c r="F277" s="37">
        <f>4*52</f>
        <v>208</v>
      </c>
      <c r="G277" s="36">
        <v>0.05</v>
      </c>
      <c r="H277" s="37">
        <f t="shared" si="223"/>
        <v>218.4</v>
      </c>
      <c r="I277" s="133">
        <v>0.02</v>
      </c>
      <c r="J277" s="240">
        <f>J$275</f>
        <v>48</v>
      </c>
      <c r="K277" s="38">
        <f t="shared" si="225"/>
        <v>0.96</v>
      </c>
      <c r="L277" s="38">
        <v>2.5</v>
      </c>
      <c r="M277" s="39">
        <f t="shared" si="226"/>
        <v>3.46</v>
      </c>
      <c r="N277" s="41">
        <f t="shared" si="224"/>
        <v>755.66399999999999</v>
      </c>
      <c r="O277" s="9"/>
      <c r="P277" s="318">
        <f t="shared" si="179"/>
        <v>209.66399999999999</v>
      </c>
      <c r="Q277" s="319">
        <f t="shared" si="180"/>
        <v>546</v>
      </c>
      <c r="R277" s="9"/>
    </row>
    <row r="278" spans="1:20" ht="18" customHeight="1" x14ac:dyDescent="0.25">
      <c r="A278" s="112" t="str">
        <f>IF(G278&lt;&gt;"",1+MAX($A$2:A277),"")</f>
        <v/>
      </c>
      <c r="B278" s="145"/>
      <c r="C278" s="150"/>
      <c r="D278" s="360" t="s">
        <v>83</v>
      </c>
      <c r="E278" s="361"/>
      <c r="F278" s="64"/>
      <c r="G278" s="65"/>
      <c r="H278" s="37"/>
      <c r="I278" s="66"/>
      <c r="J278" s="242"/>
      <c r="K278" s="60"/>
      <c r="L278" s="60"/>
      <c r="M278" s="39"/>
      <c r="N278" s="41"/>
      <c r="P278" s="318">
        <f t="shared" si="179"/>
        <v>0</v>
      </c>
      <c r="Q278" s="319">
        <f t="shared" si="180"/>
        <v>0</v>
      </c>
    </row>
    <row r="279" spans="1:20" ht="15.75" x14ac:dyDescent="0.2">
      <c r="A279" s="112">
        <f>IF(G279&lt;&gt;"",1+MAX($A$2:A278),"")</f>
        <v>178</v>
      </c>
      <c r="B279" s="351" t="s">
        <v>134</v>
      </c>
      <c r="C279" s="351" t="s">
        <v>222</v>
      </c>
      <c r="D279" s="160" t="s">
        <v>258</v>
      </c>
      <c r="E279" s="218" t="s">
        <v>7</v>
      </c>
      <c r="F279" s="37">
        <v>16</v>
      </c>
      <c r="G279" s="36">
        <v>0.05</v>
      </c>
      <c r="H279" s="37">
        <f t="shared" ref="H279:H280" si="227">(G279*F279)+F279</f>
        <v>16.8</v>
      </c>
      <c r="I279" s="133">
        <v>0.185</v>
      </c>
      <c r="J279" s="240">
        <f t="shared" ref="J279:J280" si="228">J$275</f>
        <v>48</v>
      </c>
      <c r="K279" s="38">
        <f>I279*J279</f>
        <v>8.879999999999999</v>
      </c>
      <c r="L279" s="38">
        <v>85.65</v>
      </c>
      <c r="M279" s="39">
        <f>+L279+K279</f>
        <v>94.53</v>
      </c>
      <c r="N279" s="41">
        <f t="shared" ref="N279:N280" si="229">H279*M279</f>
        <v>1588.104</v>
      </c>
      <c r="P279" s="318">
        <f t="shared" si="179"/>
        <v>149.184</v>
      </c>
      <c r="Q279" s="319">
        <f t="shared" si="180"/>
        <v>1438.92</v>
      </c>
    </row>
    <row r="280" spans="1:20" ht="15.75" x14ac:dyDescent="0.2">
      <c r="A280" s="112">
        <f>IF(G280&lt;&gt;"",1+MAX($A$2:A279),"")</f>
        <v>179</v>
      </c>
      <c r="B280" s="352"/>
      <c r="C280" s="352"/>
      <c r="D280" s="160" t="s">
        <v>259</v>
      </c>
      <c r="E280" s="35" t="s">
        <v>34</v>
      </c>
      <c r="F280" s="37">
        <v>7.67</v>
      </c>
      <c r="G280" s="36">
        <v>0.05</v>
      </c>
      <c r="H280" s="37">
        <f t="shared" si="227"/>
        <v>8.0534999999999997</v>
      </c>
      <c r="I280" s="133">
        <v>6.2E-2</v>
      </c>
      <c r="J280" s="240">
        <f t="shared" si="228"/>
        <v>48</v>
      </c>
      <c r="K280" s="38">
        <f t="shared" ref="K280" si="230">I280*J280</f>
        <v>2.976</v>
      </c>
      <c r="L280" s="38">
        <v>11.56</v>
      </c>
      <c r="M280" s="39">
        <f t="shared" ref="M280" si="231">+L280+K280</f>
        <v>14.536000000000001</v>
      </c>
      <c r="N280" s="41">
        <f t="shared" si="229"/>
        <v>117.06567600000001</v>
      </c>
      <c r="P280" s="318">
        <f t="shared" ref="P280:P343" si="232">K280*H280</f>
        <v>23.967216000000001</v>
      </c>
      <c r="Q280" s="319">
        <f t="shared" ref="Q280:Q343" si="233">L280*H280</f>
        <v>93.098460000000003</v>
      </c>
    </row>
    <row r="281" spans="1:20" s="1" customFormat="1" ht="15" customHeight="1" x14ac:dyDescent="0.2">
      <c r="A281" s="42" t="str">
        <f>IF(G281&lt;&gt;"",1+MAX($A$2:A280),"")</f>
        <v/>
      </c>
      <c r="B281" s="152"/>
      <c r="C281" s="152"/>
      <c r="D281" s="43"/>
      <c r="E281" s="43"/>
      <c r="F281" s="43"/>
      <c r="G281" s="43"/>
      <c r="H281" s="43"/>
      <c r="I281" s="256"/>
      <c r="J281" s="241"/>
      <c r="K281" s="44"/>
      <c r="L281" s="44"/>
      <c r="M281" s="45" t="s">
        <v>22</v>
      </c>
      <c r="N281" s="46">
        <f>SUM(N275:N280)</f>
        <v>6752.0828760000004</v>
      </c>
      <c r="O281" s="4"/>
      <c r="P281" s="318">
        <f t="shared" si="232"/>
        <v>0</v>
      </c>
      <c r="Q281" s="319">
        <f t="shared" si="233"/>
        <v>0</v>
      </c>
      <c r="R281" s="4"/>
    </row>
    <row r="282" spans="1:20" ht="15.75" x14ac:dyDescent="0.2">
      <c r="A282" s="72" t="str">
        <f>IF(G282&lt;&gt;"",1+MAX($A$2:A281),"")</f>
        <v/>
      </c>
      <c r="B282" s="153"/>
      <c r="C282" s="153"/>
      <c r="D282" s="73"/>
      <c r="E282" s="74"/>
      <c r="F282" s="285"/>
      <c r="G282" s="75"/>
      <c r="H282" s="285"/>
      <c r="I282" s="286"/>
      <c r="J282" s="287"/>
      <c r="K282" s="76"/>
      <c r="L282" s="76"/>
      <c r="M282" s="288"/>
      <c r="N282" s="77"/>
      <c r="O282" s="9"/>
      <c r="P282" s="318">
        <f t="shared" si="232"/>
        <v>0</v>
      </c>
      <c r="Q282" s="319">
        <f t="shared" si="233"/>
        <v>0</v>
      </c>
      <c r="R282" s="9"/>
    </row>
    <row r="283" spans="1:20" ht="18.75" x14ac:dyDescent="0.2">
      <c r="A283" s="50" t="str">
        <f>IF(G283&lt;&gt;"",1+MAX($A$2:A282),"")</f>
        <v/>
      </c>
      <c r="B283" s="51"/>
      <c r="C283" s="51"/>
      <c r="D283" s="52"/>
      <c r="E283" s="53" t="s">
        <v>450</v>
      </c>
      <c r="F283" s="54"/>
      <c r="G283" s="54"/>
      <c r="H283" s="54"/>
      <c r="I283" s="167"/>
      <c r="J283" s="239"/>
      <c r="K283" s="54"/>
      <c r="L283" s="54"/>
      <c r="M283" s="55"/>
      <c r="N283" s="56"/>
      <c r="O283" s="9"/>
      <c r="P283" s="318">
        <f t="shared" si="232"/>
        <v>0</v>
      </c>
      <c r="Q283" s="319">
        <f t="shared" si="233"/>
        <v>0</v>
      </c>
      <c r="R283" s="9"/>
      <c r="S283" s="9"/>
      <c r="T283" s="9"/>
    </row>
    <row r="284" spans="1:20" ht="18" customHeight="1" x14ac:dyDescent="0.25">
      <c r="A284" s="189" t="str">
        <f>IF(G284&lt;&gt;"",1+MAX($A$2:A283),"")</f>
        <v/>
      </c>
      <c r="B284" s="190"/>
      <c r="C284" s="191"/>
      <c r="D284" s="226" t="s">
        <v>451</v>
      </c>
      <c r="E284" s="227"/>
      <c r="F284" s="71"/>
      <c r="G284" s="65"/>
      <c r="H284" s="37"/>
      <c r="I284" s="66"/>
      <c r="J284" s="242"/>
      <c r="K284" s="60"/>
      <c r="L284" s="60"/>
      <c r="M284" s="39"/>
      <c r="N284" s="41"/>
      <c r="O284" s="9"/>
      <c r="P284" s="318">
        <f t="shared" si="232"/>
        <v>0</v>
      </c>
      <c r="Q284" s="319">
        <f t="shared" si="233"/>
        <v>0</v>
      </c>
      <c r="R284" s="9"/>
      <c r="S284" s="9"/>
      <c r="T284" s="9"/>
    </row>
    <row r="285" spans="1:20" ht="18.75" x14ac:dyDescent="0.2">
      <c r="A285" s="112" t="str">
        <f>IF(G285&lt;&gt;"",1+MAX($A$2:A284),"")</f>
        <v/>
      </c>
      <c r="B285" s="35"/>
      <c r="C285" s="192"/>
      <c r="D285" s="193" t="s">
        <v>452</v>
      </c>
      <c r="E285" s="194"/>
      <c r="F285" s="94"/>
      <c r="G285" s="36"/>
      <c r="H285" s="37"/>
      <c r="I285" s="66"/>
      <c r="J285" s="243"/>
      <c r="K285" s="195"/>
      <c r="L285" s="195"/>
      <c r="M285" s="39"/>
      <c r="N285" s="40"/>
      <c r="O285" s="9"/>
      <c r="P285" s="318">
        <f t="shared" si="232"/>
        <v>0</v>
      </c>
      <c r="Q285" s="319">
        <f t="shared" si="233"/>
        <v>0</v>
      </c>
      <c r="R285" s="9"/>
      <c r="S285" s="9"/>
      <c r="T285" s="9"/>
    </row>
    <row r="286" spans="1:20" ht="15.75" x14ac:dyDescent="0.2">
      <c r="A286" s="112">
        <f>IF(G286&lt;&gt;"",1+MAX($A$2:A285),"")</f>
        <v>180</v>
      </c>
      <c r="B286" s="367" t="s">
        <v>129</v>
      </c>
      <c r="C286" s="370" t="s">
        <v>453</v>
      </c>
      <c r="D286" s="27" t="s">
        <v>454</v>
      </c>
      <c r="E286" s="35" t="s">
        <v>34</v>
      </c>
      <c r="F286" s="37">
        <v>24.06</v>
      </c>
      <c r="G286" s="36">
        <v>0.05</v>
      </c>
      <c r="H286" s="37">
        <f t="shared" ref="H286:H289" si="234">(G286*F286)+F286</f>
        <v>25.262999999999998</v>
      </c>
      <c r="I286" s="133">
        <v>4.2000000000000003E-2</v>
      </c>
      <c r="J286" s="240">
        <v>70</v>
      </c>
      <c r="K286" s="195">
        <f>I286*J286</f>
        <v>2.9400000000000004</v>
      </c>
      <c r="L286" s="195">
        <v>5.44</v>
      </c>
      <c r="M286" s="39">
        <f t="shared" ref="M286:M289" si="235">+L286+K286</f>
        <v>8.3800000000000008</v>
      </c>
      <c r="N286" s="40">
        <f t="shared" ref="N286:N289" si="236">H286*M286</f>
        <v>211.70394000000002</v>
      </c>
      <c r="O286" s="9"/>
      <c r="P286" s="318">
        <f t="shared" si="232"/>
        <v>74.273220000000009</v>
      </c>
      <c r="Q286" s="319">
        <f t="shared" si="233"/>
        <v>137.43072000000001</v>
      </c>
      <c r="R286" s="9"/>
      <c r="S286" s="9"/>
      <c r="T286" s="9"/>
    </row>
    <row r="287" spans="1:20" ht="15.75" x14ac:dyDescent="0.2">
      <c r="A287" s="112">
        <f>IF(G287&lt;&gt;"",1+MAX($A$2:A286),"")</f>
        <v>181</v>
      </c>
      <c r="B287" s="368"/>
      <c r="C287" s="371"/>
      <c r="D287" s="27" t="s">
        <v>455</v>
      </c>
      <c r="E287" s="35" t="s">
        <v>34</v>
      </c>
      <c r="F287" s="37">
        <v>151.84</v>
      </c>
      <c r="G287" s="36">
        <v>0.05</v>
      </c>
      <c r="H287" s="37">
        <f t="shared" si="234"/>
        <v>159.43200000000002</v>
      </c>
      <c r="I287" s="133">
        <v>5.1999999999999998E-2</v>
      </c>
      <c r="J287" s="240">
        <f>$J$286</f>
        <v>70</v>
      </c>
      <c r="K287" s="195">
        <f t="shared" ref="K287:K289" si="237">I287*J287</f>
        <v>3.6399999999999997</v>
      </c>
      <c r="L287" s="195">
        <v>9.6900000000000013</v>
      </c>
      <c r="M287" s="39">
        <f t="shared" si="235"/>
        <v>13.330000000000002</v>
      </c>
      <c r="N287" s="40">
        <f t="shared" si="236"/>
        <v>2125.2285600000005</v>
      </c>
      <c r="O287" s="9"/>
      <c r="P287" s="318">
        <f t="shared" si="232"/>
        <v>580.33248000000003</v>
      </c>
      <c r="Q287" s="319">
        <f t="shared" si="233"/>
        <v>1544.8960800000004</v>
      </c>
      <c r="R287" s="9"/>
      <c r="S287" s="9"/>
      <c r="T287" s="9"/>
    </row>
    <row r="288" spans="1:20" ht="15.75" x14ac:dyDescent="0.2">
      <c r="A288" s="112">
        <f>IF(G288&lt;&gt;"",1+MAX($A$2:A287),"")</f>
        <v>182</v>
      </c>
      <c r="B288" s="368"/>
      <c r="C288" s="371"/>
      <c r="D288" s="27" t="s">
        <v>456</v>
      </c>
      <c r="E288" s="35" t="s">
        <v>34</v>
      </c>
      <c r="F288" s="37">
        <f>40+17+18</f>
        <v>75</v>
      </c>
      <c r="G288" s="36">
        <v>0.05</v>
      </c>
      <c r="H288" s="37">
        <f t="shared" si="234"/>
        <v>78.75</v>
      </c>
      <c r="I288" s="133">
        <v>3.5000000000000003E-2</v>
      </c>
      <c r="J288" s="240">
        <f>$J$286</f>
        <v>70</v>
      </c>
      <c r="K288" s="195">
        <f t="shared" si="237"/>
        <v>2.4500000000000002</v>
      </c>
      <c r="L288" s="195">
        <v>4.1820000000000004</v>
      </c>
      <c r="M288" s="39">
        <f t="shared" si="235"/>
        <v>6.6320000000000006</v>
      </c>
      <c r="N288" s="40">
        <f t="shared" si="236"/>
        <v>522.2700000000001</v>
      </c>
      <c r="O288" s="9"/>
      <c r="P288" s="318">
        <f t="shared" si="232"/>
        <v>192.9375</v>
      </c>
      <c r="Q288" s="319">
        <f t="shared" si="233"/>
        <v>329.33250000000004</v>
      </c>
      <c r="R288" s="9"/>
      <c r="S288" s="9"/>
      <c r="T288" s="9"/>
    </row>
    <row r="289" spans="1:20" ht="15.75" x14ac:dyDescent="0.2">
      <c r="A289" s="112">
        <f>IF(G289&lt;&gt;"",1+MAX($A$2:A288),"")</f>
        <v>183</v>
      </c>
      <c r="B289" s="368"/>
      <c r="C289" s="372"/>
      <c r="D289" s="27" t="s">
        <v>457</v>
      </c>
      <c r="E289" s="35" t="s">
        <v>34</v>
      </c>
      <c r="F289" s="37">
        <f>15+21.09+2</f>
        <v>38.090000000000003</v>
      </c>
      <c r="G289" s="36">
        <v>0.05</v>
      </c>
      <c r="H289" s="37">
        <f t="shared" si="234"/>
        <v>39.994500000000002</v>
      </c>
      <c r="I289" s="133">
        <v>4.4999999999999998E-2</v>
      </c>
      <c r="J289" s="240">
        <f>$J$286</f>
        <v>70</v>
      </c>
      <c r="K289" s="195">
        <f t="shared" si="237"/>
        <v>3.15</v>
      </c>
      <c r="L289" s="195">
        <v>5.3125</v>
      </c>
      <c r="M289" s="39">
        <f t="shared" si="235"/>
        <v>8.4625000000000004</v>
      </c>
      <c r="N289" s="40">
        <f t="shared" si="236"/>
        <v>338.45345625000004</v>
      </c>
      <c r="O289" s="9"/>
      <c r="P289" s="318">
        <f t="shared" si="232"/>
        <v>125.982675</v>
      </c>
      <c r="Q289" s="319">
        <f t="shared" si="233"/>
        <v>212.47078125000002</v>
      </c>
      <c r="R289" s="9"/>
      <c r="S289" s="9"/>
      <c r="T289" s="9"/>
    </row>
    <row r="290" spans="1:20" ht="18.75" x14ac:dyDescent="0.2">
      <c r="A290" s="112" t="str">
        <f>IF(G290&lt;&gt;"",1+MAX($A$2:A289),"")</f>
        <v/>
      </c>
      <c r="B290" s="368"/>
      <c r="C290" s="192"/>
      <c r="D290" s="193" t="s">
        <v>458</v>
      </c>
      <c r="E290" s="194"/>
      <c r="F290" s="94"/>
      <c r="G290" s="36"/>
      <c r="H290" s="37"/>
      <c r="I290" s="169"/>
      <c r="J290" s="243"/>
      <c r="K290" s="195"/>
      <c r="L290" s="195"/>
      <c r="M290" s="39"/>
      <c r="N290" s="40"/>
      <c r="O290" s="9"/>
      <c r="P290" s="318">
        <f t="shared" si="232"/>
        <v>0</v>
      </c>
      <c r="Q290" s="319">
        <f t="shared" si="233"/>
        <v>0</v>
      </c>
      <c r="R290" s="9"/>
      <c r="S290" s="9"/>
      <c r="T290" s="9"/>
    </row>
    <row r="291" spans="1:20" ht="31.5" x14ac:dyDescent="0.2">
      <c r="A291" s="112">
        <f>IF(G291&lt;&gt;"",1+MAX($A$2:A290),"")</f>
        <v>184</v>
      </c>
      <c r="B291" s="368"/>
      <c r="C291" s="175" t="s">
        <v>459</v>
      </c>
      <c r="D291" s="27" t="s">
        <v>460</v>
      </c>
      <c r="E291" s="35" t="s">
        <v>34</v>
      </c>
      <c r="F291" s="37">
        <v>289</v>
      </c>
      <c r="G291" s="36">
        <v>0.05</v>
      </c>
      <c r="H291" s="37">
        <f t="shared" ref="H291" si="238">(G291*F291)+F291</f>
        <v>303.45</v>
      </c>
      <c r="I291" s="133">
        <v>7.0000000000000007E-2</v>
      </c>
      <c r="J291" s="240">
        <f>$J$286</f>
        <v>70</v>
      </c>
      <c r="K291" s="195">
        <f t="shared" ref="K291" si="239">I291*J291</f>
        <v>4.9000000000000004</v>
      </c>
      <c r="L291" s="195">
        <v>6.6166666666666671</v>
      </c>
      <c r="M291" s="39">
        <f>+L291+K291</f>
        <v>11.516666666666667</v>
      </c>
      <c r="N291" s="40">
        <f>H291*M291</f>
        <v>3494.7325000000001</v>
      </c>
      <c r="O291" s="9"/>
      <c r="P291" s="318">
        <f t="shared" si="232"/>
        <v>1486.905</v>
      </c>
      <c r="Q291" s="319">
        <f t="shared" si="233"/>
        <v>2007.8275000000001</v>
      </c>
      <c r="R291" s="9"/>
      <c r="S291" s="9"/>
      <c r="T291" s="9"/>
    </row>
    <row r="292" spans="1:20" ht="18.75" x14ac:dyDescent="0.2">
      <c r="A292" s="112" t="str">
        <f>IF(G292&lt;&gt;"",1+MAX($A$2:A291),"")</f>
        <v/>
      </c>
      <c r="B292" s="368"/>
      <c r="C292" s="35"/>
      <c r="D292" s="196" t="s">
        <v>461</v>
      </c>
      <c r="E292" s="197"/>
      <c r="F292" s="37"/>
      <c r="G292" s="36"/>
      <c r="H292" s="37"/>
      <c r="I292" s="169"/>
      <c r="J292" s="243"/>
      <c r="K292" s="195"/>
      <c r="L292" s="195"/>
      <c r="M292" s="39"/>
      <c r="N292" s="40"/>
      <c r="O292" s="9"/>
      <c r="P292" s="318">
        <f t="shared" si="232"/>
        <v>0</v>
      </c>
      <c r="Q292" s="319">
        <f t="shared" si="233"/>
        <v>0</v>
      </c>
      <c r="R292" s="9"/>
      <c r="S292" s="9"/>
      <c r="T292" s="9"/>
    </row>
    <row r="293" spans="1:20" ht="15.75" customHeight="1" x14ac:dyDescent="0.2">
      <c r="A293" s="112" t="str">
        <f>IF(G293&lt;&gt;"",1+MAX($A$2:A292),"")</f>
        <v/>
      </c>
      <c r="B293" s="368"/>
      <c r="C293" s="370" t="s">
        <v>453</v>
      </c>
      <c r="D293" s="136" t="s">
        <v>462</v>
      </c>
      <c r="E293" s="198"/>
      <c r="F293" s="94"/>
      <c r="G293" s="36"/>
      <c r="H293" s="37"/>
      <c r="I293" s="169"/>
      <c r="J293" s="243"/>
      <c r="K293" s="195"/>
      <c r="L293" s="195"/>
      <c r="M293" s="39"/>
      <c r="N293" s="40"/>
      <c r="O293" s="9"/>
      <c r="P293" s="318">
        <f t="shared" si="232"/>
        <v>0</v>
      </c>
      <c r="Q293" s="319">
        <f t="shared" si="233"/>
        <v>0</v>
      </c>
      <c r="R293" s="9"/>
      <c r="S293" s="9"/>
      <c r="T293" s="9"/>
    </row>
    <row r="294" spans="1:20" ht="15.75" x14ac:dyDescent="0.2">
      <c r="A294" s="112">
        <f>IF(G294&lt;&gt;"",1+MAX($A$2:A293),"")</f>
        <v>185</v>
      </c>
      <c r="B294" s="368"/>
      <c r="C294" s="371"/>
      <c r="D294" s="27" t="s">
        <v>463</v>
      </c>
      <c r="E294" s="35" t="s">
        <v>32</v>
      </c>
      <c r="F294" s="37">
        <v>3</v>
      </c>
      <c r="G294" s="36">
        <v>0</v>
      </c>
      <c r="H294" s="37">
        <f t="shared" ref="H294" si="240">(G294*F294)+F294</f>
        <v>3</v>
      </c>
      <c r="I294" s="133">
        <v>0.38</v>
      </c>
      <c r="J294" s="240">
        <f>$J$286</f>
        <v>70</v>
      </c>
      <c r="K294" s="195">
        <f t="shared" ref="K294" si="241">I294*J294</f>
        <v>26.6</v>
      </c>
      <c r="L294" s="195">
        <v>16</v>
      </c>
      <c r="M294" s="39">
        <f>+L294+K294</f>
        <v>42.6</v>
      </c>
      <c r="N294" s="40">
        <f t="shared" ref="N294" si="242">H294*M294</f>
        <v>127.80000000000001</v>
      </c>
      <c r="O294" s="9"/>
      <c r="P294" s="318">
        <f t="shared" si="232"/>
        <v>79.800000000000011</v>
      </c>
      <c r="Q294" s="319">
        <f t="shared" si="233"/>
        <v>48</v>
      </c>
      <c r="R294" s="9"/>
      <c r="S294" s="9"/>
      <c r="T294" s="9"/>
    </row>
    <row r="295" spans="1:20" ht="15.75" x14ac:dyDescent="0.2">
      <c r="A295" s="112" t="str">
        <f>IF(G295&lt;&gt;"",1+MAX($A$2:A294),"")</f>
        <v/>
      </c>
      <c r="B295" s="368"/>
      <c r="C295" s="371"/>
      <c r="D295" s="136" t="s">
        <v>464</v>
      </c>
      <c r="E295" s="198"/>
      <c r="F295" s="94"/>
      <c r="G295" s="36"/>
      <c r="H295" s="37"/>
      <c r="I295" s="169"/>
      <c r="J295" s="243"/>
      <c r="K295" s="195"/>
      <c r="L295" s="195"/>
      <c r="M295" s="39"/>
      <c r="N295" s="40"/>
      <c r="O295" s="9"/>
      <c r="P295" s="318">
        <f t="shared" si="232"/>
        <v>0</v>
      </c>
      <c r="Q295" s="319">
        <f t="shared" si="233"/>
        <v>0</v>
      </c>
      <c r="R295" s="9"/>
      <c r="S295" s="9"/>
      <c r="T295" s="9"/>
    </row>
    <row r="296" spans="1:20" ht="15.75" x14ac:dyDescent="0.2">
      <c r="A296" s="112">
        <f>IF(G296&lt;&gt;"",1+MAX($A$2:A295),"")</f>
        <v>186</v>
      </c>
      <c r="B296" s="369"/>
      <c r="C296" s="372"/>
      <c r="D296" s="27" t="s">
        <v>465</v>
      </c>
      <c r="E296" s="35" t="s">
        <v>32</v>
      </c>
      <c r="F296" s="37">
        <v>6</v>
      </c>
      <c r="G296" s="36">
        <v>0</v>
      </c>
      <c r="H296" s="37">
        <f t="shared" ref="H296" si="243">(G296*F296)+F296</f>
        <v>6</v>
      </c>
      <c r="I296" s="133">
        <v>0.68799999999999994</v>
      </c>
      <c r="J296" s="240">
        <f>$J$286</f>
        <v>70</v>
      </c>
      <c r="K296" s="195">
        <f t="shared" ref="K296" si="244">I296*J296</f>
        <v>48.16</v>
      </c>
      <c r="L296" s="195">
        <v>87.5</v>
      </c>
      <c r="M296" s="39">
        <f t="shared" ref="M296" si="245">+L296+K296</f>
        <v>135.66</v>
      </c>
      <c r="N296" s="40">
        <f t="shared" ref="N296" si="246">H296*M296</f>
        <v>813.96</v>
      </c>
      <c r="O296" s="9"/>
      <c r="P296" s="318">
        <f t="shared" si="232"/>
        <v>288.95999999999998</v>
      </c>
      <c r="Q296" s="319">
        <f t="shared" si="233"/>
        <v>525</v>
      </c>
      <c r="R296" s="9"/>
      <c r="S296" s="9"/>
      <c r="T296" s="9"/>
    </row>
    <row r="297" spans="1:20" ht="15.75" x14ac:dyDescent="0.2">
      <c r="A297" s="112" t="str">
        <f>IF(G297&lt;&gt;"",1+MAX($A$2:A296),"")</f>
        <v/>
      </c>
      <c r="B297" s="35"/>
      <c r="C297" s="35"/>
      <c r="D297" s="226" t="s">
        <v>466</v>
      </c>
      <c r="E297" s="227"/>
      <c r="F297" s="37"/>
      <c r="G297" s="36"/>
      <c r="H297" s="37"/>
      <c r="I297" s="169"/>
      <c r="J297" s="243"/>
      <c r="K297" s="195"/>
      <c r="L297" s="195"/>
      <c r="M297" s="39"/>
      <c r="N297" s="40"/>
      <c r="O297" s="9"/>
      <c r="P297" s="318">
        <f t="shared" si="232"/>
        <v>0</v>
      </c>
      <c r="Q297" s="319">
        <f t="shared" si="233"/>
        <v>0</v>
      </c>
      <c r="R297" s="9"/>
      <c r="S297" s="9"/>
      <c r="T297" s="9"/>
    </row>
    <row r="298" spans="1:20" ht="18.75" x14ac:dyDescent="0.2">
      <c r="A298" s="112" t="str">
        <f>IF(G298&lt;&gt;"",1+MAX($A$2:A297),"")</f>
        <v/>
      </c>
      <c r="B298" s="35"/>
      <c r="C298" s="199"/>
      <c r="D298" s="200" t="s">
        <v>452</v>
      </c>
      <c r="E298" s="194"/>
      <c r="F298" s="94"/>
      <c r="G298" s="36"/>
      <c r="H298" s="37"/>
      <c r="I298" s="169"/>
      <c r="J298" s="243"/>
      <c r="K298" s="195"/>
      <c r="L298" s="195"/>
      <c r="M298" s="39"/>
      <c r="N298" s="40"/>
      <c r="O298" s="9"/>
      <c r="P298" s="318">
        <f t="shared" si="232"/>
        <v>0</v>
      </c>
      <c r="Q298" s="319">
        <f t="shared" si="233"/>
        <v>0</v>
      </c>
      <c r="R298" s="9"/>
      <c r="S298" s="9"/>
      <c r="T298" s="9"/>
    </row>
    <row r="299" spans="1:20" ht="31.5" x14ac:dyDescent="0.2">
      <c r="A299" s="112">
        <f>IF(G299&lt;&gt;"",1+MAX($A$2:A298),"")</f>
        <v>187</v>
      </c>
      <c r="B299" s="367" t="s">
        <v>129</v>
      </c>
      <c r="C299" s="199" t="s">
        <v>467</v>
      </c>
      <c r="D299" s="27" t="s">
        <v>468</v>
      </c>
      <c r="E299" s="201" t="s">
        <v>34</v>
      </c>
      <c r="F299" s="37">
        <f>4*6</f>
        <v>24</v>
      </c>
      <c r="G299" s="36">
        <v>0.05</v>
      </c>
      <c r="H299" s="37">
        <f t="shared" ref="H299" si="247">(G299*F299)+F299</f>
        <v>25.2</v>
      </c>
      <c r="I299" s="133">
        <v>3.5000000000000003E-2</v>
      </c>
      <c r="J299" s="240">
        <f>$J$286</f>
        <v>70</v>
      </c>
      <c r="K299" s="195">
        <f t="shared" ref="K299" si="248">I299*J299</f>
        <v>2.4500000000000002</v>
      </c>
      <c r="L299" s="195">
        <v>4.1820000000000004</v>
      </c>
      <c r="M299" s="39">
        <f t="shared" ref="M299" si="249">+L299+K299</f>
        <v>6.6320000000000006</v>
      </c>
      <c r="N299" s="40">
        <f>H299*M299</f>
        <v>167.12640000000002</v>
      </c>
      <c r="O299" s="9"/>
      <c r="P299" s="318">
        <f t="shared" si="232"/>
        <v>61.74</v>
      </c>
      <c r="Q299" s="319">
        <f t="shared" si="233"/>
        <v>105.38640000000001</v>
      </c>
      <c r="R299" s="9"/>
      <c r="S299" s="9"/>
      <c r="T299" s="9"/>
    </row>
    <row r="300" spans="1:20" ht="18.75" x14ac:dyDescent="0.2">
      <c r="A300" s="112" t="str">
        <f>IF(G300&lt;&gt;"",1+MAX($A$2:A299),"")</f>
        <v/>
      </c>
      <c r="B300" s="368"/>
      <c r="C300" s="192"/>
      <c r="D300" s="193" t="s">
        <v>458</v>
      </c>
      <c r="E300" s="194"/>
      <c r="F300" s="94"/>
      <c r="G300" s="36"/>
      <c r="H300" s="37"/>
      <c r="I300" s="169"/>
      <c r="J300" s="243"/>
      <c r="K300" s="195"/>
      <c r="L300" s="195"/>
      <c r="M300" s="39"/>
      <c r="N300" s="40"/>
      <c r="O300" s="9"/>
      <c r="P300" s="318">
        <f t="shared" si="232"/>
        <v>0</v>
      </c>
      <c r="Q300" s="319">
        <f t="shared" si="233"/>
        <v>0</v>
      </c>
      <c r="R300" s="9"/>
      <c r="S300" s="9"/>
      <c r="T300" s="9"/>
    </row>
    <row r="301" spans="1:20" ht="31.5" x14ac:dyDescent="0.2">
      <c r="A301" s="112">
        <f>IF(G301&lt;&gt;"",1+MAX($A$2:A300),"")</f>
        <v>188</v>
      </c>
      <c r="B301" s="369"/>
      <c r="C301" s="175" t="s">
        <v>459</v>
      </c>
      <c r="D301" s="27" t="s">
        <v>460</v>
      </c>
      <c r="E301" s="35" t="s">
        <v>34</v>
      </c>
      <c r="F301" s="37">
        <v>24</v>
      </c>
      <c r="G301" s="36">
        <v>0.05</v>
      </c>
      <c r="H301" s="37">
        <f t="shared" ref="H301" si="250">(G301*F301)+F301</f>
        <v>25.2</v>
      </c>
      <c r="I301" s="133">
        <v>5.8000000000000003E-2</v>
      </c>
      <c r="J301" s="240">
        <f>$J$286</f>
        <v>70</v>
      </c>
      <c r="K301" s="195">
        <f t="shared" ref="K301" si="251">I301*J301</f>
        <v>4.0600000000000005</v>
      </c>
      <c r="L301" s="195">
        <v>3.33</v>
      </c>
      <c r="M301" s="39">
        <f t="shared" ref="M301" si="252">+L301+K301</f>
        <v>7.3900000000000006</v>
      </c>
      <c r="N301" s="40">
        <f t="shared" ref="N301" si="253">H301*M301</f>
        <v>186.22800000000001</v>
      </c>
      <c r="O301" s="9"/>
      <c r="P301" s="318">
        <f t="shared" si="232"/>
        <v>102.31200000000001</v>
      </c>
      <c r="Q301" s="319">
        <f t="shared" si="233"/>
        <v>83.915999999999997</v>
      </c>
      <c r="R301" s="9"/>
      <c r="S301" s="9"/>
      <c r="T301" s="9"/>
    </row>
    <row r="302" spans="1:20" ht="15.75" x14ac:dyDescent="0.2">
      <c r="A302" s="112" t="str">
        <f>IF(G302&lt;&gt;"",1+MAX($A$2:A301),"")</f>
        <v/>
      </c>
      <c r="B302" s="35"/>
      <c r="C302" s="35"/>
      <c r="D302" s="226" t="s">
        <v>469</v>
      </c>
      <c r="E302" s="227"/>
      <c r="F302" s="37"/>
      <c r="G302" s="36"/>
      <c r="H302" s="37"/>
      <c r="I302" s="169"/>
      <c r="J302" s="243"/>
      <c r="K302" s="195"/>
      <c r="L302" s="195"/>
      <c r="M302" s="39"/>
      <c r="N302" s="40"/>
      <c r="O302" s="9"/>
      <c r="P302" s="318">
        <f t="shared" si="232"/>
        <v>0</v>
      </c>
      <c r="Q302" s="319">
        <f t="shared" si="233"/>
        <v>0</v>
      </c>
      <c r="R302" s="9"/>
      <c r="S302" s="9"/>
      <c r="T302" s="9"/>
    </row>
    <row r="303" spans="1:20" ht="18.75" x14ac:dyDescent="0.2">
      <c r="A303" s="112" t="str">
        <f>IF(G303&lt;&gt;"",1+MAX($A$2:A302),"")</f>
        <v/>
      </c>
      <c r="B303" s="35"/>
      <c r="C303" s="192"/>
      <c r="D303" s="200" t="s">
        <v>452</v>
      </c>
      <c r="E303" s="194"/>
      <c r="F303" s="94"/>
      <c r="G303" s="36"/>
      <c r="H303" s="37"/>
      <c r="I303" s="169"/>
      <c r="J303" s="243"/>
      <c r="K303" s="195"/>
      <c r="L303" s="195"/>
      <c r="M303" s="39"/>
      <c r="N303" s="40"/>
      <c r="O303" s="9"/>
      <c r="P303" s="318">
        <f t="shared" si="232"/>
        <v>0</v>
      </c>
      <c r="Q303" s="319">
        <f t="shared" si="233"/>
        <v>0</v>
      </c>
      <c r="R303" s="9"/>
      <c r="S303" s="9"/>
      <c r="T303" s="9"/>
    </row>
    <row r="304" spans="1:20" ht="31.5" x14ac:dyDescent="0.2">
      <c r="A304" s="112">
        <f>IF(G304&lt;&gt;"",1+MAX($A$2:A303),"")</f>
        <v>189</v>
      </c>
      <c r="B304" s="35"/>
      <c r="C304" s="175" t="s">
        <v>470</v>
      </c>
      <c r="D304" s="27" t="s">
        <v>471</v>
      </c>
      <c r="E304" s="201" t="s">
        <v>34</v>
      </c>
      <c r="F304" s="37">
        <v>47.61</v>
      </c>
      <c r="G304" s="36">
        <v>0.05</v>
      </c>
      <c r="H304" s="37">
        <f t="shared" ref="H304" si="254">(G304*F304)+F304</f>
        <v>49.990499999999997</v>
      </c>
      <c r="I304" s="133">
        <v>6.9000000000000006E-2</v>
      </c>
      <c r="J304" s="240">
        <f>$J$286</f>
        <v>70</v>
      </c>
      <c r="K304" s="195">
        <f t="shared" ref="K304" si="255">I304*J304</f>
        <v>4.83</v>
      </c>
      <c r="L304" s="195">
        <v>7.88</v>
      </c>
      <c r="M304" s="39">
        <f t="shared" ref="M304" si="256">+L304+K304</f>
        <v>12.71</v>
      </c>
      <c r="N304" s="40">
        <f t="shared" ref="N304" si="257">H304*M304</f>
        <v>635.37925500000006</v>
      </c>
      <c r="O304" s="9"/>
      <c r="P304" s="318">
        <f t="shared" si="232"/>
        <v>241.454115</v>
      </c>
      <c r="Q304" s="319">
        <f t="shared" si="233"/>
        <v>393.92514</v>
      </c>
      <c r="R304" s="9"/>
      <c r="S304" s="9"/>
      <c r="T304" s="9"/>
    </row>
    <row r="305" spans="1:20" ht="15.75" x14ac:dyDescent="0.2">
      <c r="A305" s="112" t="str">
        <f>IF(G305&lt;&gt;"",1+MAX($A$2:A304),"")</f>
        <v/>
      </c>
      <c r="B305" s="35"/>
      <c r="C305" s="35"/>
      <c r="D305" s="226" t="s">
        <v>472</v>
      </c>
      <c r="E305" s="227"/>
      <c r="F305" s="37"/>
      <c r="G305" s="36"/>
      <c r="H305" s="37"/>
      <c r="I305" s="169"/>
      <c r="J305" s="243"/>
      <c r="K305" s="195"/>
      <c r="L305" s="195"/>
      <c r="M305" s="39"/>
      <c r="N305" s="40"/>
      <c r="O305" s="9"/>
      <c r="P305" s="318">
        <f t="shared" si="232"/>
        <v>0</v>
      </c>
      <c r="Q305" s="319">
        <f t="shared" si="233"/>
        <v>0</v>
      </c>
      <c r="R305" s="9"/>
      <c r="S305" s="9"/>
      <c r="T305" s="9"/>
    </row>
    <row r="306" spans="1:20" ht="18.75" x14ac:dyDescent="0.2">
      <c r="A306" s="112" t="str">
        <f>IF(G306&lt;&gt;"",1+MAX($A$2:A305),"")</f>
        <v/>
      </c>
      <c r="B306" s="35"/>
      <c r="C306" s="192"/>
      <c r="D306" s="200" t="s">
        <v>452</v>
      </c>
      <c r="E306" s="194"/>
      <c r="F306" s="94"/>
      <c r="G306" s="36"/>
      <c r="H306" s="37"/>
      <c r="I306" s="169"/>
      <c r="J306" s="243"/>
      <c r="K306" s="195"/>
      <c r="L306" s="195"/>
      <c r="M306" s="39"/>
      <c r="N306" s="40"/>
      <c r="O306" s="9"/>
      <c r="P306" s="318">
        <f t="shared" si="232"/>
        <v>0</v>
      </c>
      <c r="Q306" s="319">
        <f t="shared" si="233"/>
        <v>0</v>
      </c>
      <c r="R306" s="9"/>
      <c r="S306" s="9"/>
      <c r="T306" s="9"/>
    </row>
    <row r="307" spans="1:20" ht="31.5" customHeight="1" x14ac:dyDescent="0.2">
      <c r="A307" s="112">
        <f>IF(G307&lt;&gt;"",1+MAX($A$2:A306),"")</f>
        <v>190</v>
      </c>
      <c r="B307" s="367" t="s">
        <v>129</v>
      </c>
      <c r="C307" s="370" t="s">
        <v>467</v>
      </c>
      <c r="D307" s="27" t="s">
        <v>473</v>
      </c>
      <c r="E307" s="202" t="s">
        <v>34</v>
      </c>
      <c r="F307" s="37">
        <v>7</v>
      </c>
      <c r="G307" s="36">
        <v>0.05</v>
      </c>
      <c r="H307" s="37">
        <f t="shared" ref="H307:H308" si="258">(G307*F307)+F307</f>
        <v>7.35</v>
      </c>
      <c r="I307" s="133">
        <v>4.4999999999999998E-2</v>
      </c>
      <c r="J307" s="240">
        <f t="shared" ref="J307:J308" si="259">$J$286</f>
        <v>70</v>
      </c>
      <c r="K307" s="195">
        <f t="shared" ref="K307:K308" si="260">I307*J307</f>
        <v>3.15</v>
      </c>
      <c r="L307" s="195">
        <v>3.5100000000000002</v>
      </c>
      <c r="M307" s="39">
        <f t="shared" ref="M307:M308" si="261">+L307+K307</f>
        <v>6.66</v>
      </c>
      <c r="N307" s="40">
        <f t="shared" ref="N307:N308" si="262">H307*M307</f>
        <v>48.951000000000001</v>
      </c>
      <c r="O307" s="9"/>
      <c r="P307" s="318">
        <f t="shared" si="232"/>
        <v>23.1525</v>
      </c>
      <c r="Q307" s="319">
        <f t="shared" si="233"/>
        <v>25.798500000000001</v>
      </c>
      <c r="R307" s="9"/>
      <c r="S307" s="9"/>
      <c r="T307" s="9"/>
    </row>
    <row r="308" spans="1:20" ht="15.75" x14ac:dyDescent="0.2">
      <c r="A308" s="112">
        <f>IF(G308&lt;&gt;"",1+MAX($A$2:A307),"")</f>
        <v>191</v>
      </c>
      <c r="B308" s="368"/>
      <c r="C308" s="372"/>
      <c r="D308" s="27" t="s">
        <v>474</v>
      </c>
      <c r="E308" s="202" t="s">
        <v>34</v>
      </c>
      <c r="F308" s="37">
        <f>18+105</f>
        <v>123</v>
      </c>
      <c r="G308" s="36">
        <v>0.05</v>
      </c>
      <c r="H308" s="37">
        <f t="shared" si="258"/>
        <v>129.15</v>
      </c>
      <c r="I308" s="133">
        <v>6.5000000000000002E-2</v>
      </c>
      <c r="J308" s="240">
        <f t="shared" si="259"/>
        <v>70</v>
      </c>
      <c r="K308" s="195">
        <f t="shared" si="260"/>
        <v>4.55</v>
      </c>
      <c r="L308" s="195">
        <v>5.88</v>
      </c>
      <c r="M308" s="39">
        <f t="shared" si="261"/>
        <v>10.43</v>
      </c>
      <c r="N308" s="40">
        <f t="shared" si="262"/>
        <v>1347.0345</v>
      </c>
      <c r="O308" s="9"/>
      <c r="P308" s="318">
        <f t="shared" si="232"/>
        <v>587.63250000000005</v>
      </c>
      <c r="Q308" s="319">
        <f t="shared" si="233"/>
        <v>759.40200000000004</v>
      </c>
      <c r="R308" s="9"/>
      <c r="S308" s="9"/>
      <c r="T308" s="9"/>
    </row>
    <row r="309" spans="1:20" ht="18.75" x14ac:dyDescent="0.2">
      <c r="A309" s="112" t="str">
        <f>IF(G309&lt;&gt;"",1+MAX($A$2:A308),"")</f>
        <v/>
      </c>
      <c r="B309" s="368"/>
      <c r="C309" s="35"/>
      <c r="D309" s="196" t="s">
        <v>475</v>
      </c>
      <c r="E309" s="197"/>
      <c r="F309" s="37"/>
      <c r="G309" s="36"/>
      <c r="H309" s="37"/>
      <c r="I309" s="169"/>
      <c r="J309" s="243"/>
      <c r="K309" s="195"/>
      <c r="L309" s="195"/>
      <c r="M309" s="39"/>
      <c r="N309" s="40"/>
      <c r="O309" s="9"/>
      <c r="P309" s="318">
        <f t="shared" si="232"/>
        <v>0</v>
      </c>
      <c r="Q309" s="319">
        <f t="shared" si="233"/>
        <v>0</v>
      </c>
      <c r="R309" s="9"/>
      <c r="S309" s="9"/>
      <c r="T309" s="9"/>
    </row>
    <row r="310" spans="1:20" ht="15.75" x14ac:dyDescent="0.2">
      <c r="A310" s="112" t="str">
        <f>IF(G310&lt;&gt;"",1+MAX($A$2:A309),"")</f>
        <v/>
      </c>
      <c r="B310" s="368"/>
      <c r="C310" s="192"/>
      <c r="D310" s="136" t="s">
        <v>462</v>
      </c>
      <c r="E310" s="198"/>
      <c r="F310" s="94"/>
      <c r="G310" s="36"/>
      <c r="H310" s="37"/>
      <c r="I310" s="169"/>
      <c r="J310" s="243"/>
      <c r="K310" s="195"/>
      <c r="L310" s="195"/>
      <c r="M310" s="39"/>
      <c r="N310" s="40"/>
      <c r="O310" s="9"/>
      <c r="P310" s="318">
        <f t="shared" si="232"/>
        <v>0</v>
      </c>
      <c r="Q310" s="319">
        <f t="shared" si="233"/>
        <v>0</v>
      </c>
      <c r="R310" s="9"/>
      <c r="S310" s="9"/>
      <c r="T310" s="9"/>
    </row>
    <row r="311" spans="1:20" ht="15.75" x14ac:dyDescent="0.2">
      <c r="A311" s="112">
        <f>IF(G311&lt;&gt;"",1+MAX($A$2:A310),"")</f>
        <v>192</v>
      </c>
      <c r="B311" s="368"/>
      <c r="C311" s="175"/>
      <c r="D311" s="27" t="s">
        <v>463</v>
      </c>
      <c r="E311" s="35" t="s">
        <v>32</v>
      </c>
      <c r="F311" s="37">
        <v>4</v>
      </c>
      <c r="G311" s="36">
        <v>0</v>
      </c>
      <c r="H311" s="37">
        <f t="shared" ref="H311" si="263">(G311*F311)+F311</f>
        <v>4</v>
      </c>
      <c r="I311" s="133">
        <v>0.435</v>
      </c>
      <c r="J311" s="240">
        <f>$J$286</f>
        <v>70</v>
      </c>
      <c r="K311" s="195">
        <f t="shared" ref="K311" si="264">I311*J311</f>
        <v>30.45</v>
      </c>
      <c r="L311" s="195">
        <v>38.5</v>
      </c>
      <c r="M311" s="39">
        <f>+L311+K311</f>
        <v>68.95</v>
      </c>
      <c r="N311" s="40">
        <f t="shared" ref="N311" si="265">H311*M311</f>
        <v>275.8</v>
      </c>
      <c r="O311" s="9"/>
      <c r="P311" s="318">
        <f t="shared" si="232"/>
        <v>121.8</v>
      </c>
      <c r="Q311" s="319">
        <f t="shared" si="233"/>
        <v>154</v>
      </c>
      <c r="R311" s="9"/>
      <c r="S311" s="9"/>
      <c r="T311" s="9"/>
    </row>
    <row r="312" spans="1:20" ht="15.75" x14ac:dyDescent="0.2">
      <c r="A312" s="112" t="str">
        <f>IF(G312&lt;&gt;"",1+MAX($A$2:A311),"")</f>
        <v/>
      </c>
      <c r="B312" s="368"/>
      <c r="C312" s="192"/>
      <c r="D312" s="136" t="s">
        <v>464</v>
      </c>
      <c r="E312" s="198"/>
      <c r="F312" s="94"/>
      <c r="G312" s="36"/>
      <c r="H312" s="37"/>
      <c r="I312" s="169"/>
      <c r="J312" s="243"/>
      <c r="K312" s="195"/>
      <c r="L312" s="195"/>
      <c r="M312" s="39"/>
      <c r="N312" s="40"/>
      <c r="O312" s="9"/>
      <c r="P312" s="318">
        <f t="shared" si="232"/>
        <v>0</v>
      </c>
      <c r="Q312" s="319">
        <f t="shared" si="233"/>
        <v>0</v>
      </c>
      <c r="R312" s="9"/>
      <c r="S312" s="9"/>
      <c r="T312" s="9"/>
    </row>
    <row r="313" spans="1:20" ht="15.75" x14ac:dyDescent="0.2">
      <c r="A313" s="112">
        <f>IF(G313&lt;&gt;"",1+MAX($A$2:A312),"")</f>
        <v>193</v>
      </c>
      <c r="B313" s="369"/>
      <c r="C313" s="35"/>
      <c r="D313" s="27" t="s">
        <v>476</v>
      </c>
      <c r="E313" s="201" t="s">
        <v>32</v>
      </c>
      <c r="F313" s="37">
        <v>1</v>
      </c>
      <c r="G313" s="36">
        <v>0</v>
      </c>
      <c r="H313" s="37">
        <f t="shared" ref="H313" si="266">(G313*F313)+F313</f>
        <v>1</v>
      </c>
      <c r="I313" s="133">
        <v>0.625</v>
      </c>
      <c r="J313" s="240">
        <f>$J$286</f>
        <v>70</v>
      </c>
      <c r="K313" s="195">
        <f t="shared" ref="K313" si="267">I313*J313</f>
        <v>43.75</v>
      </c>
      <c r="L313" s="195">
        <v>51</v>
      </c>
      <c r="M313" s="39">
        <f t="shared" ref="M313" si="268">+L313+K313</f>
        <v>94.75</v>
      </c>
      <c r="N313" s="40">
        <f>H313*M313</f>
        <v>94.75</v>
      </c>
      <c r="O313" s="9"/>
      <c r="P313" s="318">
        <f t="shared" si="232"/>
        <v>43.75</v>
      </c>
      <c r="Q313" s="319">
        <f t="shared" si="233"/>
        <v>51</v>
      </c>
      <c r="R313" s="9"/>
      <c r="S313" s="9"/>
      <c r="T313" s="9"/>
    </row>
    <row r="314" spans="1:20" ht="18" customHeight="1" x14ac:dyDescent="0.2">
      <c r="A314" s="112" t="str">
        <f>IF(G314&lt;&gt;"",1+MAX($A$2:A313),"")</f>
        <v/>
      </c>
      <c r="B314" s="35"/>
      <c r="C314" s="192"/>
      <c r="D314" s="226" t="s">
        <v>477</v>
      </c>
      <c r="E314" s="227"/>
      <c r="F314" s="94"/>
      <c r="G314" s="36"/>
      <c r="H314" s="37"/>
      <c r="I314" s="169"/>
      <c r="J314" s="243"/>
      <c r="K314" s="195"/>
      <c r="L314" s="195"/>
      <c r="M314" s="39"/>
      <c r="N314" s="40"/>
      <c r="O314" s="9"/>
      <c r="P314" s="318">
        <f t="shared" si="232"/>
        <v>0</v>
      </c>
      <c r="Q314" s="319">
        <f t="shared" si="233"/>
        <v>0</v>
      </c>
      <c r="R314" s="9"/>
      <c r="S314" s="9"/>
      <c r="T314" s="9"/>
    </row>
    <row r="315" spans="1:20" ht="47.25" x14ac:dyDescent="0.2">
      <c r="A315" s="112">
        <f>IF(G315&lt;&gt;"",1+MAX($A$2:A314),"")</f>
        <v>194</v>
      </c>
      <c r="B315" s="367" t="s">
        <v>129</v>
      </c>
      <c r="C315" s="370" t="s">
        <v>467</v>
      </c>
      <c r="D315" s="160" t="s">
        <v>478</v>
      </c>
      <c r="E315" s="201" t="s">
        <v>32</v>
      </c>
      <c r="F315" s="37">
        <v>1</v>
      </c>
      <c r="G315" s="36">
        <v>0</v>
      </c>
      <c r="H315" s="37">
        <f t="shared" ref="H315:H319" si="269">(G315*F315)+F315</f>
        <v>1</v>
      </c>
      <c r="I315" s="133">
        <v>0.58799999999999997</v>
      </c>
      <c r="J315" s="240">
        <f t="shared" ref="J315:J319" si="270">$J$286</f>
        <v>70</v>
      </c>
      <c r="K315" s="195">
        <f t="shared" ref="K315:K319" si="271">I315*J315</f>
        <v>41.16</v>
      </c>
      <c r="L315" s="195">
        <v>471.28</v>
      </c>
      <c r="M315" s="39">
        <f t="shared" ref="M315:M319" si="272">+L315+K315</f>
        <v>512.43999999999994</v>
      </c>
      <c r="N315" s="40">
        <f t="shared" ref="N315:N319" si="273">H315*M315</f>
        <v>512.43999999999994</v>
      </c>
      <c r="O315" s="9"/>
      <c r="P315" s="318">
        <f t="shared" si="232"/>
        <v>41.16</v>
      </c>
      <c r="Q315" s="319">
        <f t="shared" si="233"/>
        <v>471.28</v>
      </c>
      <c r="R315" s="9"/>
      <c r="S315" s="9"/>
      <c r="T315" s="9"/>
    </row>
    <row r="316" spans="1:20" ht="47.25" x14ac:dyDescent="0.2">
      <c r="A316" s="112">
        <f>IF(G316&lt;&gt;"",1+MAX($A$2:A315),"")</f>
        <v>195</v>
      </c>
      <c r="B316" s="368"/>
      <c r="C316" s="371"/>
      <c r="D316" s="160" t="s">
        <v>479</v>
      </c>
      <c r="E316" s="201" t="s">
        <v>32</v>
      </c>
      <c r="F316" s="37">
        <v>3</v>
      </c>
      <c r="G316" s="36">
        <v>0</v>
      </c>
      <c r="H316" s="37">
        <f t="shared" si="269"/>
        <v>3</v>
      </c>
      <c r="I316" s="133">
        <v>0.58799999999999997</v>
      </c>
      <c r="J316" s="240">
        <f t="shared" si="270"/>
        <v>70</v>
      </c>
      <c r="K316" s="195">
        <f t="shared" si="271"/>
        <v>41.16</v>
      </c>
      <c r="L316" s="195">
        <v>471.28</v>
      </c>
      <c r="M316" s="39">
        <f t="shared" si="272"/>
        <v>512.43999999999994</v>
      </c>
      <c r="N316" s="40">
        <f t="shared" si="273"/>
        <v>1537.3199999999997</v>
      </c>
      <c r="O316" s="9"/>
      <c r="P316" s="318">
        <f t="shared" si="232"/>
        <v>123.47999999999999</v>
      </c>
      <c r="Q316" s="319">
        <f t="shared" si="233"/>
        <v>1413.84</v>
      </c>
      <c r="R316" s="9"/>
      <c r="S316" s="9"/>
      <c r="T316" s="9"/>
    </row>
    <row r="317" spans="1:20" ht="47.25" x14ac:dyDescent="0.2">
      <c r="A317" s="112">
        <f>IF(G317&lt;&gt;"",1+MAX($A$2:A316),"")</f>
        <v>196</v>
      </c>
      <c r="B317" s="368"/>
      <c r="C317" s="371"/>
      <c r="D317" s="160" t="s">
        <v>480</v>
      </c>
      <c r="E317" s="201" t="s">
        <v>32</v>
      </c>
      <c r="F317" s="37">
        <v>1</v>
      </c>
      <c r="G317" s="36">
        <v>0</v>
      </c>
      <c r="H317" s="37">
        <f t="shared" si="269"/>
        <v>1</v>
      </c>
      <c r="I317" s="133">
        <v>2.54</v>
      </c>
      <c r="J317" s="240">
        <f t="shared" si="270"/>
        <v>70</v>
      </c>
      <c r="K317" s="195">
        <f t="shared" si="271"/>
        <v>177.8</v>
      </c>
      <c r="L317" s="195">
        <v>1400.99</v>
      </c>
      <c r="M317" s="39">
        <f t="shared" si="272"/>
        <v>1578.79</v>
      </c>
      <c r="N317" s="40">
        <f t="shared" si="273"/>
        <v>1578.79</v>
      </c>
      <c r="O317" s="9"/>
      <c r="P317" s="318">
        <f t="shared" si="232"/>
        <v>177.8</v>
      </c>
      <c r="Q317" s="319">
        <f t="shared" si="233"/>
        <v>1400.99</v>
      </c>
      <c r="R317" s="9"/>
      <c r="S317" s="9"/>
      <c r="T317" s="9"/>
    </row>
    <row r="318" spans="1:20" ht="47.25" x14ac:dyDescent="0.2">
      <c r="A318" s="112">
        <f>IF(G318&lt;&gt;"",1+MAX($A$2:A317),"")</f>
        <v>197</v>
      </c>
      <c r="B318" s="368"/>
      <c r="C318" s="371"/>
      <c r="D318" s="160" t="s">
        <v>611</v>
      </c>
      <c r="E318" s="201" t="s">
        <v>32</v>
      </c>
      <c r="F318" s="37">
        <v>1</v>
      </c>
      <c r="G318" s="36">
        <v>0</v>
      </c>
      <c r="H318" s="37">
        <f t="shared" si="269"/>
        <v>1</v>
      </c>
      <c r="I318" s="133">
        <v>2.84</v>
      </c>
      <c r="J318" s="240">
        <f t="shared" si="270"/>
        <v>70</v>
      </c>
      <c r="K318" s="195">
        <f t="shared" si="271"/>
        <v>198.79999999999998</v>
      </c>
      <c r="L318" s="195">
        <v>921.34</v>
      </c>
      <c r="M318" s="39">
        <f t="shared" si="272"/>
        <v>1120.1400000000001</v>
      </c>
      <c r="N318" s="40">
        <f t="shared" si="273"/>
        <v>1120.1400000000001</v>
      </c>
      <c r="O318" s="9"/>
      <c r="P318" s="318">
        <f t="shared" si="232"/>
        <v>198.79999999999998</v>
      </c>
      <c r="Q318" s="319">
        <f t="shared" si="233"/>
        <v>921.34</v>
      </c>
      <c r="R318" s="9"/>
      <c r="S318" s="9"/>
      <c r="T318" s="9"/>
    </row>
    <row r="319" spans="1:20" ht="47.25" x14ac:dyDescent="0.2">
      <c r="A319" s="33">
        <f>IF(G319&lt;&gt;"",1+MAX($A$2:A318),"")</f>
        <v>198</v>
      </c>
      <c r="B319" s="369"/>
      <c r="C319" s="372"/>
      <c r="D319" s="160" t="s">
        <v>481</v>
      </c>
      <c r="E319" s="201" t="s">
        <v>32</v>
      </c>
      <c r="F319" s="37">
        <v>2</v>
      </c>
      <c r="G319" s="36">
        <v>0</v>
      </c>
      <c r="H319" s="37">
        <f t="shared" si="269"/>
        <v>2</v>
      </c>
      <c r="I319" s="133">
        <v>0.65900000000000003</v>
      </c>
      <c r="J319" s="240">
        <f t="shared" si="270"/>
        <v>70</v>
      </c>
      <c r="K319" s="195">
        <f t="shared" si="271"/>
        <v>46.13</v>
      </c>
      <c r="L319" s="195">
        <v>443.1</v>
      </c>
      <c r="M319" s="39">
        <f t="shared" si="272"/>
        <v>489.23</v>
      </c>
      <c r="N319" s="40">
        <f t="shared" si="273"/>
        <v>978.46</v>
      </c>
      <c r="O319" s="9"/>
      <c r="P319" s="318">
        <f t="shared" si="232"/>
        <v>92.26</v>
      </c>
      <c r="Q319" s="319">
        <f t="shared" si="233"/>
        <v>886.2</v>
      </c>
      <c r="R319" s="9"/>
      <c r="S319" s="9"/>
      <c r="T319" s="9"/>
    </row>
    <row r="320" spans="1:20" ht="18" customHeight="1" x14ac:dyDescent="0.2">
      <c r="A320" s="189" t="str">
        <f>IF(G320&lt;&gt;"",1+MAX($A$2:A319),"")</f>
        <v/>
      </c>
      <c r="B320" s="190"/>
      <c r="C320" s="190"/>
      <c r="D320" s="226" t="s">
        <v>482</v>
      </c>
      <c r="E320" s="227"/>
      <c r="F320" s="37"/>
      <c r="G320" s="36"/>
      <c r="H320" s="37"/>
      <c r="I320" s="169"/>
      <c r="J320" s="243"/>
      <c r="K320" s="195"/>
      <c r="L320" s="38"/>
      <c r="M320" s="39"/>
      <c r="N320" s="41"/>
      <c r="O320" s="9"/>
      <c r="P320" s="318">
        <f t="shared" si="232"/>
        <v>0</v>
      </c>
      <c r="Q320" s="319">
        <f t="shared" si="233"/>
        <v>0</v>
      </c>
      <c r="R320" s="9"/>
      <c r="S320" s="9"/>
      <c r="T320" s="9"/>
    </row>
    <row r="321" spans="1:20" ht="47.25" x14ac:dyDescent="0.2">
      <c r="A321" s="112">
        <f>IF(G321&lt;&gt;"",1+MAX($A$2:A320),"")</f>
        <v>199</v>
      </c>
      <c r="B321" s="367" t="s">
        <v>129</v>
      </c>
      <c r="C321" s="175" t="s">
        <v>483</v>
      </c>
      <c r="D321" s="160" t="s">
        <v>484</v>
      </c>
      <c r="E321" s="201" t="s">
        <v>32</v>
      </c>
      <c r="F321" s="37">
        <v>2</v>
      </c>
      <c r="G321" s="36">
        <v>0</v>
      </c>
      <c r="H321" s="37">
        <f t="shared" ref="H321:H322" si="274">(G321*F321)+F321</f>
        <v>2</v>
      </c>
      <c r="I321" s="133">
        <v>2.1800000000000002</v>
      </c>
      <c r="J321" s="240">
        <f t="shared" ref="J321:J322" si="275">$J$286</f>
        <v>70</v>
      </c>
      <c r="K321" s="195">
        <f t="shared" ref="K321:K322" si="276">I321*J321</f>
        <v>152.60000000000002</v>
      </c>
      <c r="L321" s="195">
        <v>210.99</v>
      </c>
      <c r="M321" s="39">
        <f t="shared" ref="M321:M322" si="277">+L321+K321</f>
        <v>363.59000000000003</v>
      </c>
      <c r="N321" s="40">
        <f t="shared" ref="N321:N322" si="278">H321*M321</f>
        <v>727.18000000000006</v>
      </c>
      <c r="O321" s="9"/>
      <c r="P321" s="318">
        <f t="shared" si="232"/>
        <v>305.20000000000005</v>
      </c>
      <c r="Q321" s="319">
        <f t="shared" si="233"/>
        <v>421.98</v>
      </c>
      <c r="R321" s="9"/>
      <c r="S321" s="9"/>
      <c r="T321" s="9"/>
    </row>
    <row r="322" spans="1:20" ht="63" x14ac:dyDescent="0.2">
      <c r="A322" s="33">
        <f>IF(G322&lt;&gt;"",1+MAX($A$2:A321),"")</f>
        <v>200</v>
      </c>
      <c r="B322" s="369"/>
      <c r="C322" s="203" t="s">
        <v>485</v>
      </c>
      <c r="D322" s="160" t="s">
        <v>486</v>
      </c>
      <c r="E322" s="204" t="s">
        <v>32</v>
      </c>
      <c r="F322" s="37">
        <v>6</v>
      </c>
      <c r="G322" s="36">
        <v>0</v>
      </c>
      <c r="H322" s="37">
        <f t="shared" si="274"/>
        <v>6</v>
      </c>
      <c r="I322" s="133">
        <v>1.45</v>
      </c>
      <c r="J322" s="240">
        <f t="shared" si="275"/>
        <v>70</v>
      </c>
      <c r="K322" s="195">
        <f t="shared" si="276"/>
        <v>101.5</v>
      </c>
      <c r="L322" s="195">
        <v>284.02999999999997</v>
      </c>
      <c r="M322" s="39">
        <f t="shared" si="277"/>
        <v>385.53</v>
      </c>
      <c r="N322" s="40">
        <f t="shared" si="278"/>
        <v>2313.1799999999998</v>
      </c>
      <c r="O322" s="9"/>
      <c r="P322" s="318">
        <f t="shared" si="232"/>
        <v>609</v>
      </c>
      <c r="Q322" s="319">
        <f t="shared" si="233"/>
        <v>1704.1799999999998</v>
      </c>
      <c r="R322" s="9"/>
      <c r="S322" s="9"/>
      <c r="T322" s="9"/>
    </row>
    <row r="323" spans="1:20" ht="18" customHeight="1" x14ac:dyDescent="0.25">
      <c r="A323" s="189" t="str">
        <f>IF(G323&lt;&gt;"",1+MAX($A$2:A322),"")</f>
        <v/>
      </c>
      <c r="B323" s="190"/>
      <c r="C323" s="190"/>
      <c r="D323" s="226" t="s">
        <v>487</v>
      </c>
      <c r="E323" s="227"/>
      <c r="F323" s="205"/>
      <c r="G323" s="65"/>
      <c r="H323" s="37"/>
      <c r="I323" s="170"/>
      <c r="J323" s="246"/>
      <c r="K323" s="206"/>
      <c r="L323" s="60"/>
      <c r="M323" s="39"/>
      <c r="N323" s="41"/>
      <c r="O323" s="9"/>
      <c r="P323" s="318">
        <f t="shared" si="232"/>
        <v>0</v>
      </c>
      <c r="Q323" s="319">
        <f t="shared" si="233"/>
        <v>0</v>
      </c>
      <c r="R323" s="9"/>
      <c r="S323" s="9"/>
      <c r="T323" s="9"/>
    </row>
    <row r="324" spans="1:20" ht="18" customHeight="1" x14ac:dyDescent="0.2">
      <c r="A324" s="112" t="str">
        <f>IF(G324&lt;&gt;"",1+MAX($A$2:A323),"")</f>
        <v/>
      </c>
      <c r="B324" s="35"/>
      <c r="C324" s="35"/>
      <c r="D324" s="136" t="s">
        <v>488</v>
      </c>
      <c r="E324" s="207"/>
      <c r="F324" s="37"/>
      <c r="G324" s="36"/>
      <c r="H324" s="37"/>
      <c r="I324" s="169"/>
      <c r="J324" s="243"/>
      <c r="K324" s="195"/>
      <c r="L324" s="38"/>
      <c r="M324" s="39"/>
      <c r="N324" s="41"/>
      <c r="O324" s="9"/>
      <c r="P324" s="318">
        <f t="shared" si="232"/>
        <v>0</v>
      </c>
      <c r="Q324" s="319">
        <f t="shared" si="233"/>
        <v>0</v>
      </c>
      <c r="R324" s="9"/>
      <c r="S324" s="9"/>
      <c r="T324" s="9"/>
    </row>
    <row r="325" spans="1:20" ht="18" customHeight="1" x14ac:dyDescent="0.2">
      <c r="A325" s="33">
        <f>IF(G325&lt;&gt;"",1+MAX($A$2:A324),"")</f>
        <v>201</v>
      </c>
      <c r="B325" s="383" t="s">
        <v>129</v>
      </c>
      <c r="C325" s="95"/>
      <c r="D325" s="27" t="s">
        <v>489</v>
      </c>
      <c r="E325" s="201" t="s">
        <v>32</v>
      </c>
      <c r="F325" s="37">
        <v>5</v>
      </c>
      <c r="G325" s="36">
        <v>0</v>
      </c>
      <c r="H325" s="37">
        <f t="shared" ref="H325:H327" si="279">(G325*F325)+F325</f>
        <v>5</v>
      </c>
      <c r="I325" s="133">
        <v>0.22</v>
      </c>
      <c r="J325" s="240">
        <f>$J$286</f>
        <v>70</v>
      </c>
      <c r="K325" s="195">
        <f t="shared" ref="K325:K327" si="280">I325*J325</f>
        <v>15.4</v>
      </c>
      <c r="L325" s="195">
        <v>12.79</v>
      </c>
      <c r="M325" s="39">
        <f t="shared" ref="M325:M327" si="281">+L325+K325</f>
        <v>28.189999999999998</v>
      </c>
      <c r="N325" s="40">
        <f t="shared" ref="N325:N327" si="282">H325*M325</f>
        <v>140.94999999999999</v>
      </c>
      <c r="O325" s="9"/>
      <c r="P325" s="318">
        <f t="shared" si="232"/>
        <v>77</v>
      </c>
      <c r="Q325" s="319">
        <f t="shared" si="233"/>
        <v>63.949999999999996</v>
      </c>
      <c r="R325" s="9"/>
      <c r="S325" s="9"/>
      <c r="T325" s="9"/>
    </row>
    <row r="326" spans="1:20" ht="18" customHeight="1" x14ac:dyDescent="0.2">
      <c r="A326" s="112" t="str">
        <f>IF(G326&lt;&gt;"",1+MAX($A$2:A325),"")</f>
        <v/>
      </c>
      <c r="B326" s="384"/>
      <c r="C326" s="35"/>
      <c r="D326" s="136" t="s">
        <v>490</v>
      </c>
      <c r="E326" s="207"/>
      <c r="F326" s="37"/>
      <c r="G326" s="36"/>
      <c r="H326" s="37"/>
      <c r="I326" s="169"/>
      <c r="J326" s="243"/>
      <c r="K326" s="195"/>
      <c r="L326" s="38"/>
      <c r="M326" s="39"/>
      <c r="N326" s="41"/>
      <c r="O326" s="9"/>
      <c r="P326" s="318">
        <f t="shared" si="232"/>
        <v>0</v>
      </c>
      <c r="Q326" s="319">
        <f t="shared" si="233"/>
        <v>0</v>
      </c>
      <c r="R326" s="9"/>
      <c r="S326" s="9"/>
      <c r="T326" s="9"/>
    </row>
    <row r="327" spans="1:20" ht="18" customHeight="1" x14ac:dyDescent="0.2">
      <c r="A327" s="33">
        <f>IF(G327&lt;&gt;"",1+MAX($A$2:A326),"")</f>
        <v>202</v>
      </c>
      <c r="B327" s="384"/>
      <c r="C327" s="95"/>
      <c r="D327" s="27" t="s">
        <v>491</v>
      </c>
      <c r="E327" s="201" t="s">
        <v>32</v>
      </c>
      <c r="F327" s="37">
        <v>1</v>
      </c>
      <c r="G327" s="36">
        <v>0</v>
      </c>
      <c r="H327" s="37">
        <f t="shared" si="279"/>
        <v>1</v>
      </c>
      <c r="I327" s="133">
        <v>0.95</v>
      </c>
      <c r="J327" s="240">
        <f>$J$286</f>
        <v>70</v>
      </c>
      <c r="K327" s="195">
        <f t="shared" si="280"/>
        <v>66.5</v>
      </c>
      <c r="L327" s="195">
        <v>179.98</v>
      </c>
      <c r="M327" s="39">
        <f t="shared" si="281"/>
        <v>246.48</v>
      </c>
      <c r="N327" s="40">
        <f t="shared" si="282"/>
        <v>246.48</v>
      </c>
      <c r="O327" s="9"/>
      <c r="P327" s="318">
        <f t="shared" si="232"/>
        <v>66.5</v>
      </c>
      <c r="Q327" s="319">
        <f t="shared" si="233"/>
        <v>179.98</v>
      </c>
      <c r="R327" s="9"/>
      <c r="S327" s="9"/>
      <c r="T327" s="9"/>
    </row>
    <row r="328" spans="1:20" ht="18" customHeight="1" x14ac:dyDescent="0.2">
      <c r="A328" s="33" t="str">
        <f>IF(G328&lt;&gt;"",1+MAX($A$2:A327),"")</f>
        <v/>
      </c>
      <c r="B328" s="384"/>
      <c r="C328" s="95"/>
      <c r="D328" s="136" t="s">
        <v>492</v>
      </c>
      <c r="E328" s="71"/>
      <c r="F328" s="37"/>
      <c r="G328" s="36"/>
      <c r="H328" s="37"/>
      <c r="I328" s="169"/>
      <c r="J328" s="243"/>
      <c r="K328" s="195"/>
      <c r="L328" s="38"/>
      <c r="M328" s="39"/>
      <c r="N328" s="41"/>
      <c r="O328" s="9"/>
      <c r="P328" s="318">
        <f t="shared" si="232"/>
        <v>0</v>
      </c>
      <c r="Q328" s="319">
        <f t="shared" si="233"/>
        <v>0</v>
      </c>
      <c r="R328" s="9"/>
      <c r="S328" s="9"/>
      <c r="T328" s="9"/>
    </row>
    <row r="329" spans="1:20" ht="31.5" x14ac:dyDescent="0.2">
      <c r="A329" s="33">
        <f>IF(G329&lt;&gt;"",1+MAX($A$2:A328),"")</f>
        <v>203</v>
      </c>
      <c r="B329" s="385"/>
      <c r="C329" s="95" t="s">
        <v>493</v>
      </c>
      <c r="D329" s="160" t="s">
        <v>494</v>
      </c>
      <c r="E329" s="202" t="s">
        <v>34</v>
      </c>
      <c r="F329" s="37">
        <v>60</v>
      </c>
      <c r="G329" s="36">
        <v>0.05</v>
      </c>
      <c r="H329" s="37">
        <f t="shared" ref="H329" si="283">(G329*F329)+F329</f>
        <v>63</v>
      </c>
      <c r="I329" s="133">
        <v>4.2000000000000003E-2</v>
      </c>
      <c r="J329" s="240">
        <f>$J$286</f>
        <v>70</v>
      </c>
      <c r="K329" s="195">
        <f t="shared" ref="K329" si="284">I329*J329</f>
        <v>2.9400000000000004</v>
      </c>
      <c r="L329" s="195">
        <v>81.5</v>
      </c>
      <c r="M329" s="39">
        <f t="shared" ref="M329" si="285">+L329+K329</f>
        <v>84.44</v>
      </c>
      <c r="N329" s="40">
        <f t="shared" ref="N329" si="286">H329*M329</f>
        <v>5319.72</v>
      </c>
      <c r="O329" s="9"/>
      <c r="P329" s="318">
        <f t="shared" si="232"/>
        <v>185.22000000000003</v>
      </c>
      <c r="Q329" s="319">
        <f t="shared" si="233"/>
        <v>5134.5</v>
      </c>
      <c r="R329" s="9"/>
      <c r="S329" s="9"/>
      <c r="T329" s="9"/>
    </row>
    <row r="330" spans="1:20" s="1" customFormat="1" ht="15" customHeight="1" x14ac:dyDescent="0.2">
      <c r="A330" s="42" t="str">
        <f>IF(G330&lt;&gt;"",1+MAX($A$2:A329),"")</f>
        <v/>
      </c>
      <c r="B330" s="43"/>
      <c r="C330" s="43"/>
      <c r="D330" s="43"/>
      <c r="E330" s="43"/>
      <c r="F330" s="43"/>
      <c r="G330" s="43"/>
      <c r="H330" s="43"/>
      <c r="I330" s="256"/>
      <c r="J330" s="241"/>
      <c r="K330" s="44"/>
      <c r="L330" s="44"/>
      <c r="M330" s="45" t="s">
        <v>22</v>
      </c>
      <c r="N330" s="46">
        <f>SUM(N286:N329)</f>
        <v>24864.077611249999</v>
      </c>
      <c r="O330" s="4"/>
      <c r="P330" s="318">
        <f t="shared" si="232"/>
        <v>0</v>
      </c>
      <c r="Q330" s="319">
        <f t="shared" si="233"/>
        <v>0</v>
      </c>
      <c r="R330" s="4"/>
      <c r="S330" s="4"/>
      <c r="T330" s="4"/>
    </row>
    <row r="331" spans="1:20" ht="15.75" x14ac:dyDescent="0.2">
      <c r="A331" s="72" t="str">
        <f>IF(G331&lt;&gt;"",1+MAX($A$2:A330),"")</f>
        <v/>
      </c>
      <c r="B331" s="73"/>
      <c r="C331" s="73"/>
      <c r="D331" s="73"/>
      <c r="E331" s="74"/>
      <c r="F331" s="285"/>
      <c r="G331" s="75"/>
      <c r="H331" s="285"/>
      <c r="I331" s="286"/>
      <c r="J331" s="287"/>
      <c r="K331" s="76"/>
      <c r="L331" s="76"/>
      <c r="M331" s="288"/>
      <c r="N331" s="77"/>
      <c r="O331" s="9"/>
      <c r="P331" s="318">
        <f t="shared" si="232"/>
        <v>0</v>
      </c>
      <c r="Q331" s="319">
        <f t="shared" si="233"/>
        <v>0</v>
      </c>
      <c r="R331" s="9"/>
      <c r="S331" s="9"/>
      <c r="T331" s="9"/>
    </row>
    <row r="332" spans="1:20" ht="18" customHeight="1" x14ac:dyDescent="0.2">
      <c r="A332" s="50" t="str">
        <f>IF(G332&lt;&gt;"",1+MAX($A$2:A331),"")</f>
        <v/>
      </c>
      <c r="B332" s="51"/>
      <c r="C332" s="51"/>
      <c r="D332" s="52"/>
      <c r="E332" s="53" t="s">
        <v>68</v>
      </c>
      <c r="F332" s="54"/>
      <c r="G332" s="54"/>
      <c r="H332" s="54"/>
      <c r="I332" s="167"/>
      <c r="J332" s="239"/>
      <c r="K332" s="54"/>
      <c r="L332" s="54"/>
      <c r="M332" s="55"/>
      <c r="N332" s="56"/>
      <c r="O332" s="9"/>
      <c r="P332" s="318">
        <f t="shared" si="232"/>
        <v>0</v>
      </c>
      <c r="Q332" s="319">
        <f t="shared" si="233"/>
        <v>0</v>
      </c>
      <c r="R332" s="9"/>
    </row>
    <row r="333" spans="1:20" ht="18" customHeight="1" x14ac:dyDescent="0.25">
      <c r="A333" s="84" t="str">
        <f>IF(G333&lt;&gt;"",1+MAX($A$2:A332),"")</f>
        <v/>
      </c>
      <c r="B333" s="62"/>
      <c r="C333" s="63"/>
      <c r="D333" s="226" t="s">
        <v>318</v>
      </c>
      <c r="E333" s="135"/>
      <c r="F333" s="64"/>
      <c r="G333" s="65"/>
      <c r="H333" s="37"/>
      <c r="I333" s="66"/>
      <c r="J333" s="242"/>
      <c r="K333" s="60"/>
      <c r="L333" s="60"/>
      <c r="M333" s="39"/>
      <c r="N333" s="41"/>
      <c r="O333" s="9"/>
      <c r="P333" s="318">
        <f t="shared" si="232"/>
        <v>0</v>
      </c>
      <c r="Q333" s="319">
        <f t="shared" si="233"/>
        <v>0</v>
      </c>
      <c r="R333" s="9"/>
    </row>
    <row r="334" spans="1:20" ht="18" customHeight="1" x14ac:dyDescent="0.25">
      <c r="A334" s="61" t="str">
        <f>IF(G334&lt;&gt;"",1+MAX($A$2:A333),"")</f>
        <v/>
      </c>
      <c r="B334" s="62"/>
      <c r="C334" s="63"/>
      <c r="D334" s="177" t="s">
        <v>446</v>
      </c>
      <c r="E334" s="37"/>
      <c r="F334" s="64"/>
      <c r="G334" s="65"/>
      <c r="H334" s="37"/>
      <c r="I334" s="66"/>
      <c r="J334" s="242"/>
      <c r="K334" s="60"/>
      <c r="L334" s="60"/>
      <c r="M334" s="39"/>
      <c r="N334" s="41"/>
      <c r="O334" s="9"/>
      <c r="P334" s="318">
        <f t="shared" si="232"/>
        <v>0</v>
      </c>
      <c r="Q334" s="319">
        <f t="shared" si="233"/>
        <v>0</v>
      </c>
      <c r="R334" s="9"/>
    </row>
    <row r="335" spans="1:20" ht="47.25" x14ac:dyDescent="0.2">
      <c r="A335" s="67">
        <f>IF(G335&lt;&gt;"",1+MAX($A$2:A334),"")</f>
        <v>204</v>
      </c>
      <c r="B335" s="365" t="s">
        <v>261</v>
      </c>
      <c r="C335" s="154" t="s">
        <v>319</v>
      </c>
      <c r="D335" s="160" t="s">
        <v>320</v>
      </c>
      <c r="E335" s="37" t="s">
        <v>32</v>
      </c>
      <c r="F335" s="37">
        <v>2</v>
      </c>
      <c r="G335" s="36">
        <v>0</v>
      </c>
      <c r="H335" s="37">
        <f t="shared" ref="H335" si="287">(G335*F335)+F335</f>
        <v>2</v>
      </c>
      <c r="I335" s="133">
        <v>5</v>
      </c>
      <c r="J335" s="240">
        <v>72</v>
      </c>
      <c r="K335" s="38">
        <f>I335*J335</f>
        <v>360</v>
      </c>
      <c r="L335" s="38">
        <v>10395</v>
      </c>
      <c r="M335" s="39">
        <f>+L335+K335</f>
        <v>10755</v>
      </c>
      <c r="N335" s="41">
        <f t="shared" ref="N335" si="288">H335*M335</f>
        <v>21510</v>
      </c>
      <c r="O335" s="9"/>
      <c r="P335" s="318">
        <f t="shared" si="232"/>
        <v>720</v>
      </c>
      <c r="Q335" s="319">
        <f t="shared" si="233"/>
        <v>20790</v>
      </c>
      <c r="R335" s="9"/>
    </row>
    <row r="336" spans="1:20" ht="18" customHeight="1" x14ac:dyDescent="0.25">
      <c r="A336" s="67" t="str">
        <f>IF(G336&lt;&gt;"",1+MAX($A$2:A335),"")</f>
        <v/>
      </c>
      <c r="B336" s="365"/>
      <c r="C336" s="63"/>
      <c r="D336" s="177" t="s">
        <v>447</v>
      </c>
      <c r="E336" s="37"/>
      <c r="F336" s="64"/>
      <c r="G336" s="65"/>
      <c r="H336" s="37"/>
      <c r="I336" s="66"/>
      <c r="J336" s="242"/>
      <c r="K336" s="60"/>
      <c r="L336" s="60"/>
      <c r="M336" s="39"/>
      <c r="N336" s="41"/>
      <c r="O336" s="9"/>
      <c r="P336" s="318">
        <f t="shared" si="232"/>
        <v>0</v>
      </c>
      <c r="Q336" s="319">
        <f t="shared" si="233"/>
        <v>0</v>
      </c>
      <c r="R336" s="9"/>
    </row>
    <row r="337" spans="1:20" ht="78.75" x14ac:dyDescent="0.2">
      <c r="A337" s="67">
        <f>IF(G337&lt;&gt;"",1+MAX($A$2:A336),"")</f>
        <v>205</v>
      </c>
      <c r="B337" s="365"/>
      <c r="C337" s="221" t="s">
        <v>321</v>
      </c>
      <c r="D337" s="160" t="s">
        <v>428</v>
      </c>
      <c r="E337" s="37" t="s">
        <v>32</v>
      </c>
      <c r="F337" s="37">
        <v>2</v>
      </c>
      <c r="G337" s="36">
        <v>0</v>
      </c>
      <c r="H337" s="37">
        <f t="shared" ref="H337" si="289">(G337*F337)+F337</f>
        <v>2</v>
      </c>
      <c r="I337" s="133">
        <v>4.55</v>
      </c>
      <c r="J337" s="240">
        <v>72</v>
      </c>
      <c r="K337" s="38">
        <f>I337*J337</f>
        <v>327.59999999999997</v>
      </c>
      <c r="L337" s="38">
        <v>5760</v>
      </c>
      <c r="M337" s="39">
        <f>+L337+K337</f>
        <v>6087.6</v>
      </c>
      <c r="N337" s="41">
        <f t="shared" ref="N337" si="290">H337*M337</f>
        <v>12175.2</v>
      </c>
      <c r="O337" s="9"/>
      <c r="P337" s="318">
        <f t="shared" si="232"/>
        <v>655.19999999999993</v>
      </c>
      <c r="Q337" s="319">
        <f t="shared" si="233"/>
        <v>11520</v>
      </c>
      <c r="R337" s="9"/>
    </row>
    <row r="338" spans="1:20" ht="18" customHeight="1" x14ac:dyDescent="0.25">
      <c r="A338" s="67" t="str">
        <f>IF(G338&lt;&gt;"",1+MAX($A$2:A337),"")</f>
        <v/>
      </c>
      <c r="B338" s="62"/>
      <c r="C338" s="63"/>
      <c r="D338" s="177" t="s">
        <v>448</v>
      </c>
      <c r="E338" s="37"/>
      <c r="F338" s="64"/>
      <c r="G338" s="65"/>
      <c r="H338" s="37"/>
      <c r="I338" s="66"/>
      <c r="J338" s="242"/>
      <c r="K338" s="60"/>
      <c r="L338" s="60"/>
      <c r="M338" s="39"/>
      <c r="N338" s="41"/>
      <c r="O338" s="9"/>
      <c r="P338" s="318">
        <f t="shared" si="232"/>
        <v>0</v>
      </c>
      <c r="Q338" s="319">
        <f t="shared" si="233"/>
        <v>0</v>
      </c>
      <c r="R338" s="9"/>
    </row>
    <row r="339" spans="1:20" ht="18" customHeight="1" x14ac:dyDescent="0.25">
      <c r="A339" s="67" t="str">
        <f>IF(G339&lt;&gt;"",1+MAX($A$2:A338),"")</f>
        <v/>
      </c>
      <c r="B339" s="353" t="s">
        <v>322</v>
      </c>
      <c r="C339" s="345" t="s">
        <v>323</v>
      </c>
      <c r="D339" s="178" t="s">
        <v>324</v>
      </c>
      <c r="E339" s="37"/>
      <c r="F339" s="64"/>
      <c r="G339" s="65"/>
      <c r="H339" s="37"/>
      <c r="I339" s="164"/>
      <c r="J339" s="249"/>
      <c r="K339" s="60"/>
      <c r="L339" s="60"/>
      <c r="M339" s="39"/>
      <c r="N339" s="41"/>
      <c r="O339" s="9"/>
      <c r="P339" s="318">
        <f t="shared" si="232"/>
        <v>0</v>
      </c>
      <c r="Q339" s="319">
        <f t="shared" si="233"/>
        <v>0</v>
      </c>
      <c r="R339" s="9"/>
    </row>
    <row r="340" spans="1:20" ht="47.25" x14ac:dyDescent="0.2">
      <c r="A340" s="67">
        <f>IF(G340&lt;&gt;"",1+MAX($A$2:A339),"")</f>
        <v>206</v>
      </c>
      <c r="B340" s="354"/>
      <c r="C340" s="346"/>
      <c r="D340" s="160" t="s">
        <v>325</v>
      </c>
      <c r="E340" s="37" t="s">
        <v>32</v>
      </c>
      <c r="F340" s="37">
        <v>2</v>
      </c>
      <c r="G340" s="36">
        <v>0</v>
      </c>
      <c r="H340" s="37">
        <f t="shared" ref="H340:H349" si="291">(G340*F340)+F340</f>
        <v>2</v>
      </c>
      <c r="I340" s="133">
        <v>1.23</v>
      </c>
      <c r="J340" s="240">
        <v>72</v>
      </c>
      <c r="K340" s="38">
        <f>I340*J340</f>
        <v>88.56</v>
      </c>
      <c r="L340" s="38">
        <v>853.43</v>
      </c>
      <c r="M340" s="39">
        <f>+L340+K340</f>
        <v>941.99</v>
      </c>
      <c r="N340" s="41">
        <f t="shared" ref="N340:N349" si="292">H340*M340</f>
        <v>1883.98</v>
      </c>
      <c r="O340" s="9"/>
      <c r="P340" s="318">
        <f t="shared" si="232"/>
        <v>177.12</v>
      </c>
      <c r="Q340" s="319">
        <f t="shared" si="233"/>
        <v>1706.86</v>
      </c>
      <c r="R340" s="9"/>
    </row>
    <row r="341" spans="1:20" ht="31.5" x14ac:dyDescent="0.2">
      <c r="A341" s="67">
        <f>IF(G341&lt;&gt;"",1+MAX($A$2:A340),"")</f>
        <v>207</v>
      </c>
      <c r="B341" s="354"/>
      <c r="C341" s="346"/>
      <c r="D341" s="160" t="s">
        <v>326</v>
      </c>
      <c r="E341" s="37" t="s">
        <v>32</v>
      </c>
      <c r="F341" s="37">
        <v>2</v>
      </c>
      <c r="G341" s="36">
        <v>0</v>
      </c>
      <c r="H341" s="37">
        <f t="shared" si="291"/>
        <v>2</v>
      </c>
      <c r="I341" s="133">
        <v>0.625</v>
      </c>
      <c r="J341" s="240">
        <v>72</v>
      </c>
      <c r="K341" s="38">
        <f>I341*J341</f>
        <v>45</v>
      </c>
      <c r="L341" s="38">
        <v>289</v>
      </c>
      <c r="M341" s="39">
        <f>+L341+K341</f>
        <v>334</v>
      </c>
      <c r="N341" s="41">
        <f t="shared" si="292"/>
        <v>668</v>
      </c>
      <c r="O341" s="9"/>
      <c r="P341" s="318">
        <f t="shared" si="232"/>
        <v>90</v>
      </c>
      <c r="Q341" s="319">
        <f t="shared" si="233"/>
        <v>578</v>
      </c>
      <c r="R341" s="9"/>
    </row>
    <row r="342" spans="1:20" ht="15.75" x14ac:dyDescent="0.2">
      <c r="A342" s="67">
        <f>IF(G342&lt;&gt;"",1+MAX($A$2:A341),"")</f>
        <v>208</v>
      </c>
      <c r="B342" s="354"/>
      <c r="C342" s="346"/>
      <c r="D342" s="160" t="s">
        <v>327</v>
      </c>
      <c r="E342" s="37" t="s">
        <v>32</v>
      </c>
      <c r="F342" s="37">
        <v>2</v>
      </c>
      <c r="G342" s="36">
        <v>0</v>
      </c>
      <c r="H342" s="37">
        <f t="shared" si="291"/>
        <v>2</v>
      </c>
      <c r="I342" s="133">
        <v>0.22</v>
      </c>
      <c r="J342" s="240">
        <v>72</v>
      </c>
      <c r="K342" s="38">
        <f>I342*J342</f>
        <v>15.84</v>
      </c>
      <c r="L342" s="38">
        <v>22.73</v>
      </c>
      <c r="M342" s="39">
        <f>+L342+K342</f>
        <v>38.57</v>
      </c>
      <c r="N342" s="41">
        <f t="shared" si="292"/>
        <v>77.14</v>
      </c>
      <c r="O342" s="9"/>
      <c r="P342" s="318">
        <f t="shared" si="232"/>
        <v>31.68</v>
      </c>
      <c r="Q342" s="319">
        <f t="shared" si="233"/>
        <v>45.46</v>
      </c>
      <c r="R342" s="9"/>
    </row>
    <row r="343" spans="1:20" ht="15.75" x14ac:dyDescent="0.2">
      <c r="A343" s="67">
        <f>IF(G343&lt;&gt;"",1+MAX($A$2:A342),"")</f>
        <v>209</v>
      </c>
      <c r="B343" s="355"/>
      <c r="C343" s="346"/>
      <c r="D343" s="160" t="s">
        <v>328</v>
      </c>
      <c r="E343" s="37" t="s">
        <v>32</v>
      </c>
      <c r="F343" s="37">
        <v>2</v>
      </c>
      <c r="G343" s="36">
        <v>0</v>
      </c>
      <c r="H343" s="37">
        <f t="shared" si="291"/>
        <v>2</v>
      </c>
      <c r="I343" s="133">
        <v>0.35599999999999998</v>
      </c>
      <c r="J343" s="240">
        <v>72</v>
      </c>
      <c r="K343" s="38">
        <f>I343*J343</f>
        <v>25.631999999999998</v>
      </c>
      <c r="L343" s="38">
        <v>130</v>
      </c>
      <c r="M343" s="39">
        <f>+L343+K343</f>
        <v>155.63200000000001</v>
      </c>
      <c r="N343" s="41">
        <f t="shared" si="292"/>
        <v>311.26400000000001</v>
      </c>
      <c r="O343" s="9"/>
      <c r="P343" s="318">
        <f t="shared" si="232"/>
        <v>51.263999999999996</v>
      </c>
      <c r="Q343" s="319">
        <f t="shared" si="233"/>
        <v>260</v>
      </c>
      <c r="R343" s="9"/>
    </row>
    <row r="344" spans="1:20" ht="18" customHeight="1" x14ac:dyDescent="0.25">
      <c r="A344" s="67" t="str">
        <f>IF(G344&lt;&gt;"",1+MAX($A$2:A343),"")</f>
        <v/>
      </c>
      <c r="B344" s="351" t="s">
        <v>261</v>
      </c>
      <c r="C344" s="346"/>
      <c r="D344" s="177" t="s">
        <v>329</v>
      </c>
      <c r="E344" s="37"/>
      <c r="F344" s="64"/>
      <c r="G344" s="65"/>
      <c r="H344" s="37"/>
      <c r="I344" s="164"/>
      <c r="J344" s="249"/>
      <c r="K344" s="60"/>
      <c r="L344" s="60"/>
      <c r="M344" s="39"/>
      <c r="N344" s="41"/>
      <c r="O344" s="9"/>
      <c r="P344" s="318">
        <f t="shared" ref="P344:P381" si="293">K344*H344</f>
        <v>0</v>
      </c>
      <c r="Q344" s="319">
        <f t="shared" ref="Q344:Q381" si="294">L344*H344</f>
        <v>0</v>
      </c>
      <c r="R344" s="9"/>
    </row>
    <row r="345" spans="1:20" ht="47.25" x14ac:dyDescent="0.2">
      <c r="A345" s="67">
        <f>IF(G345&lt;&gt;"",1+MAX($A$2:A344),"")</f>
        <v>210</v>
      </c>
      <c r="B345" s="359"/>
      <c r="C345" s="346"/>
      <c r="D345" s="160" t="s">
        <v>330</v>
      </c>
      <c r="E345" s="37" t="s">
        <v>32</v>
      </c>
      <c r="F345" s="37">
        <v>2</v>
      </c>
      <c r="G345" s="36">
        <v>0</v>
      </c>
      <c r="H345" s="37">
        <f t="shared" si="291"/>
        <v>2</v>
      </c>
      <c r="I345" s="133">
        <v>0.98499999999999999</v>
      </c>
      <c r="J345" s="240">
        <v>72</v>
      </c>
      <c r="K345" s="38">
        <f>I345*J345</f>
        <v>70.92</v>
      </c>
      <c r="L345" s="38">
        <v>1419</v>
      </c>
      <c r="M345" s="39">
        <f>+L345+K345</f>
        <v>1489.92</v>
      </c>
      <c r="N345" s="41">
        <f t="shared" si="292"/>
        <v>2979.84</v>
      </c>
      <c r="O345" s="9"/>
      <c r="P345" s="318">
        <f t="shared" si="293"/>
        <v>141.84</v>
      </c>
      <c r="Q345" s="319">
        <f t="shared" si="294"/>
        <v>2838</v>
      </c>
      <c r="R345" s="9"/>
    </row>
    <row r="346" spans="1:20" ht="47.25" x14ac:dyDescent="0.2">
      <c r="A346" s="67">
        <f>IF(G346&lt;&gt;"",1+MAX($A$2:A345),"")</f>
        <v>211</v>
      </c>
      <c r="B346" s="359"/>
      <c r="C346" s="346"/>
      <c r="D346" s="160" t="s">
        <v>429</v>
      </c>
      <c r="E346" s="37" t="s">
        <v>32</v>
      </c>
      <c r="F346" s="37">
        <v>2</v>
      </c>
      <c r="G346" s="36">
        <v>0</v>
      </c>
      <c r="H346" s="37">
        <f t="shared" si="291"/>
        <v>2</v>
      </c>
      <c r="I346" s="133">
        <v>0.34499999999999997</v>
      </c>
      <c r="J346" s="240">
        <v>72</v>
      </c>
      <c r="K346" s="38">
        <f>I346*J346</f>
        <v>24.839999999999996</v>
      </c>
      <c r="L346" s="38">
        <v>44</v>
      </c>
      <c r="M346" s="39">
        <f>+L346+K346</f>
        <v>68.84</v>
      </c>
      <c r="N346" s="41">
        <f t="shared" si="292"/>
        <v>137.68</v>
      </c>
      <c r="O346" s="9"/>
      <c r="P346" s="318">
        <f t="shared" si="293"/>
        <v>49.679999999999993</v>
      </c>
      <c r="Q346" s="319">
        <f t="shared" si="294"/>
        <v>88</v>
      </c>
      <c r="R346" s="9"/>
    </row>
    <row r="347" spans="1:20" ht="47.25" x14ac:dyDescent="0.2">
      <c r="A347" s="67">
        <f>IF(G347&lt;&gt;"",1+MAX($A$2:A346),"")</f>
        <v>212</v>
      </c>
      <c r="B347" s="359"/>
      <c r="C347" s="346"/>
      <c r="D347" s="160" t="s">
        <v>331</v>
      </c>
      <c r="E347" s="37" t="s">
        <v>32</v>
      </c>
      <c r="F347" s="37">
        <v>2</v>
      </c>
      <c r="G347" s="36">
        <v>0</v>
      </c>
      <c r="H347" s="37">
        <f t="shared" si="291"/>
        <v>2</v>
      </c>
      <c r="I347" s="133">
        <v>0.85499999999999998</v>
      </c>
      <c r="J347" s="240">
        <v>72</v>
      </c>
      <c r="K347" s="38">
        <f>I347*J347</f>
        <v>61.56</v>
      </c>
      <c r="L347" s="38">
        <v>157.5</v>
      </c>
      <c r="M347" s="39">
        <f>+L347+K347</f>
        <v>219.06</v>
      </c>
      <c r="N347" s="41">
        <f t="shared" si="292"/>
        <v>438.12</v>
      </c>
      <c r="O347" s="9"/>
      <c r="P347" s="318">
        <f t="shared" si="293"/>
        <v>123.12</v>
      </c>
      <c r="Q347" s="319">
        <f t="shared" si="294"/>
        <v>315</v>
      </c>
      <c r="R347" s="9"/>
    </row>
    <row r="348" spans="1:20" ht="15.75" x14ac:dyDescent="0.2">
      <c r="A348" s="67">
        <f>IF(G348&lt;&gt;"",1+MAX($A$2:A347),"")</f>
        <v>213</v>
      </c>
      <c r="B348" s="359"/>
      <c r="C348" s="346"/>
      <c r="D348" s="160" t="s">
        <v>332</v>
      </c>
      <c r="E348" s="37" t="s">
        <v>32</v>
      </c>
      <c r="F348" s="37">
        <v>2</v>
      </c>
      <c r="G348" s="36">
        <v>0</v>
      </c>
      <c r="H348" s="37">
        <f t="shared" si="291"/>
        <v>2</v>
      </c>
      <c r="I348" s="133">
        <v>0.52500000000000002</v>
      </c>
      <c r="J348" s="240">
        <v>72</v>
      </c>
      <c r="K348" s="38">
        <f>I348*J348</f>
        <v>37.800000000000004</v>
      </c>
      <c r="L348" s="38">
        <v>29</v>
      </c>
      <c r="M348" s="39">
        <f>+L348+K348</f>
        <v>66.800000000000011</v>
      </c>
      <c r="N348" s="41">
        <f t="shared" si="292"/>
        <v>133.60000000000002</v>
      </c>
      <c r="O348" s="9"/>
      <c r="P348" s="318">
        <f t="shared" si="293"/>
        <v>75.600000000000009</v>
      </c>
      <c r="Q348" s="319">
        <f t="shared" si="294"/>
        <v>58</v>
      </c>
      <c r="R348" s="9"/>
    </row>
    <row r="349" spans="1:20" ht="15.75" x14ac:dyDescent="0.2">
      <c r="A349" s="67">
        <f>IF(G349&lt;&gt;"",1+MAX($A$2:A348),"")</f>
        <v>214</v>
      </c>
      <c r="B349" s="352"/>
      <c r="C349" s="347"/>
      <c r="D349" s="160" t="s">
        <v>333</v>
      </c>
      <c r="E349" s="37" t="s">
        <v>32</v>
      </c>
      <c r="F349" s="37">
        <v>2</v>
      </c>
      <c r="G349" s="36">
        <v>0</v>
      </c>
      <c r="H349" s="37">
        <f t="shared" si="291"/>
        <v>2</v>
      </c>
      <c r="I349" s="133">
        <v>0.35</v>
      </c>
      <c r="J349" s="240">
        <v>72</v>
      </c>
      <c r="K349" s="38">
        <f>I349*J349</f>
        <v>25.2</v>
      </c>
      <c r="L349" s="38">
        <v>8.57</v>
      </c>
      <c r="M349" s="39">
        <f>+L349+K349</f>
        <v>33.769999999999996</v>
      </c>
      <c r="N349" s="41">
        <f t="shared" si="292"/>
        <v>67.539999999999992</v>
      </c>
      <c r="O349" s="9"/>
      <c r="P349" s="318">
        <f t="shared" si="293"/>
        <v>50.4</v>
      </c>
      <c r="Q349" s="319">
        <f t="shared" si="294"/>
        <v>17.14</v>
      </c>
      <c r="R349" s="9"/>
    </row>
    <row r="350" spans="1:20" ht="18" customHeight="1" x14ac:dyDescent="0.25">
      <c r="A350" s="189" t="str">
        <f>IF(G350&lt;&gt;"",1+MAX($A$2:A349),"")</f>
        <v/>
      </c>
      <c r="B350" s="190"/>
      <c r="C350" s="191"/>
      <c r="D350" s="226" t="s">
        <v>495</v>
      </c>
      <c r="E350" s="227"/>
      <c r="F350" s="71"/>
      <c r="G350" s="65"/>
      <c r="H350" s="37"/>
      <c r="I350" s="66"/>
      <c r="J350" s="242"/>
      <c r="K350" s="60"/>
      <c r="L350" s="60"/>
      <c r="M350" s="39"/>
      <c r="N350" s="41"/>
      <c r="O350" s="9"/>
      <c r="P350" s="318">
        <f t="shared" si="293"/>
        <v>0</v>
      </c>
      <c r="Q350" s="319">
        <f t="shared" si="294"/>
        <v>0</v>
      </c>
      <c r="R350" s="9"/>
      <c r="S350" s="9"/>
      <c r="T350" s="9"/>
    </row>
    <row r="351" spans="1:20" ht="15.75" x14ac:dyDescent="0.2">
      <c r="A351" s="112">
        <f>IF(G351&lt;&gt;"",1+MAX($A$2:A350),"")</f>
        <v>215</v>
      </c>
      <c r="B351" s="367"/>
      <c r="C351" s="235"/>
      <c r="D351" s="27" t="s">
        <v>497</v>
      </c>
      <c r="E351" s="202" t="s">
        <v>34</v>
      </c>
      <c r="F351" s="37">
        <v>86.14</v>
      </c>
      <c r="G351" s="36">
        <v>0.05</v>
      </c>
      <c r="H351" s="37">
        <f t="shared" ref="H351" si="295">(G351*F351)+F351</f>
        <v>90.447000000000003</v>
      </c>
      <c r="I351" s="133">
        <v>4.4999999999999998E-2</v>
      </c>
      <c r="J351" s="240">
        <v>72</v>
      </c>
      <c r="K351" s="195">
        <f t="shared" ref="K351" si="296">I351*J351</f>
        <v>3.2399999999999998</v>
      </c>
      <c r="L351" s="195">
        <v>1.62</v>
      </c>
      <c r="M351" s="39">
        <f t="shared" ref="M351" si="297">+L351+K351</f>
        <v>4.8599999999999994</v>
      </c>
      <c r="N351" s="40">
        <f t="shared" ref="N351" si="298">H351*M351</f>
        <v>439.57241999999997</v>
      </c>
      <c r="O351" s="9"/>
      <c r="P351" s="318">
        <f t="shared" si="293"/>
        <v>293.04827999999998</v>
      </c>
      <c r="Q351" s="319">
        <f t="shared" si="294"/>
        <v>146.52414000000002</v>
      </c>
      <c r="R351" s="9"/>
      <c r="S351" s="9"/>
      <c r="T351" s="9"/>
    </row>
    <row r="352" spans="1:20" ht="15.75" x14ac:dyDescent="0.2">
      <c r="A352" s="112" t="str">
        <f>IF(G352&lt;&gt;"",1+MAX($A$2:A351),"")</f>
        <v/>
      </c>
      <c r="B352" s="368"/>
      <c r="C352" s="190"/>
      <c r="D352" s="136" t="s">
        <v>498</v>
      </c>
      <c r="E352" s="198"/>
      <c r="F352" s="94"/>
      <c r="G352" s="36"/>
      <c r="H352" s="37"/>
      <c r="I352" s="169"/>
      <c r="J352" s="243"/>
      <c r="K352" s="195"/>
      <c r="L352" s="195"/>
      <c r="M352" s="39"/>
      <c r="N352" s="40"/>
      <c r="O352" s="9"/>
      <c r="P352" s="318">
        <f t="shared" si="293"/>
        <v>0</v>
      </c>
      <c r="Q352" s="319">
        <f t="shared" si="294"/>
        <v>0</v>
      </c>
      <c r="R352" s="9"/>
      <c r="S352" s="9"/>
      <c r="T352" s="9"/>
    </row>
    <row r="353" spans="1:20" ht="15.75" x14ac:dyDescent="0.2">
      <c r="A353" s="112">
        <f>IF(G353&lt;&gt;"",1+MAX($A$2:A352),"")</f>
        <v>216</v>
      </c>
      <c r="B353" s="369"/>
      <c r="C353" s="190"/>
      <c r="D353" s="27" t="s">
        <v>499</v>
      </c>
      <c r="E353" s="202" t="s">
        <v>32</v>
      </c>
      <c r="F353" s="37">
        <v>17</v>
      </c>
      <c r="G353" s="36">
        <v>0</v>
      </c>
      <c r="H353" s="37">
        <f t="shared" ref="H353" si="299">(G353*F353)+F353</f>
        <v>17</v>
      </c>
      <c r="I353" s="133">
        <v>4.4999999999999998E-2</v>
      </c>
      <c r="J353" s="240">
        <v>72</v>
      </c>
      <c r="K353" s="195">
        <f t="shared" ref="K353" si="300">I353*J353</f>
        <v>3.2399999999999998</v>
      </c>
      <c r="L353" s="195">
        <v>1.62</v>
      </c>
      <c r="M353" s="39">
        <f t="shared" ref="M353" si="301">+L353+K353</f>
        <v>4.8599999999999994</v>
      </c>
      <c r="N353" s="40">
        <f t="shared" ref="N353" si="302">H353*M353</f>
        <v>82.61999999999999</v>
      </c>
      <c r="O353" s="9"/>
      <c r="P353" s="318">
        <f t="shared" si="293"/>
        <v>55.08</v>
      </c>
      <c r="Q353" s="319">
        <f t="shared" si="294"/>
        <v>27.540000000000003</v>
      </c>
      <c r="R353" s="9"/>
      <c r="S353" s="9"/>
      <c r="T353" s="9"/>
    </row>
    <row r="354" spans="1:20" ht="18" customHeight="1" x14ac:dyDescent="0.25">
      <c r="A354" s="189" t="str">
        <f>IF(G354&lt;&gt;"",1+MAX($A$2:A353),"")</f>
        <v/>
      </c>
      <c r="B354" s="228"/>
      <c r="C354" s="190"/>
      <c r="D354" s="226" t="s">
        <v>627</v>
      </c>
      <c r="E354" s="135"/>
      <c r="F354" s="205"/>
      <c r="G354" s="65"/>
      <c r="H354" s="37"/>
      <c r="I354" s="60"/>
      <c r="J354" s="60"/>
      <c r="K354" s="206"/>
      <c r="L354" s="60"/>
      <c r="M354" s="39"/>
      <c r="N354" s="41"/>
      <c r="O354" s="9"/>
      <c r="P354" s="318">
        <f t="shared" ref="P354:P357" si="303">K354*H354</f>
        <v>0</v>
      </c>
      <c r="Q354" s="319">
        <f t="shared" ref="Q354:Q357" si="304">L354*H354</f>
        <v>0</v>
      </c>
      <c r="R354" s="9"/>
      <c r="S354" s="9"/>
      <c r="T354" s="9"/>
    </row>
    <row r="355" spans="1:20" ht="18" customHeight="1" x14ac:dyDescent="0.2">
      <c r="A355" s="33">
        <f>IF(G355&lt;&gt;"",1+MAX($A$2:A354),"")</f>
        <v>217</v>
      </c>
      <c r="B355" s="228"/>
      <c r="C355" s="95"/>
      <c r="D355" s="329" t="s">
        <v>628</v>
      </c>
      <c r="E355" s="204" t="s">
        <v>102</v>
      </c>
      <c r="F355" s="330">
        <v>5980</v>
      </c>
      <c r="G355" s="36">
        <v>0.05</v>
      </c>
      <c r="H355" s="37">
        <f t="shared" ref="H355" si="305">(G355*F355)+F355</f>
        <v>6279</v>
      </c>
      <c r="I355" s="133">
        <v>9.1999999999999998E-2</v>
      </c>
      <c r="J355" s="240">
        <v>72</v>
      </c>
      <c r="K355" s="195">
        <f>I355*J355</f>
        <v>6.6239999999999997</v>
      </c>
      <c r="L355" s="195">
        <v>0.82</v>
      </c>
      <c r="M355" s="39">
        <f>+L355+K355</f>
        <v>7.444</v>
      </c>
      <c r="N355" s="40">
        <f>H355*M355</f>
        <v>46740.875999999997</v>
      </c>
      <c r="O355" s="9"/>
      <c r="P355" s="318">
        <f t="shared" si="303"/>
        <v>41592.095999999998</v>
      </c>
      <c r="Q355" s="319">
        <f t="shared" si="304"/>
        <v>5148.78</v>
      </c>
      <c r="R355" s="9"/>
      <c r="S355" s="9"/>
      <c r="T355" s="9"/>
    </row>
    <row r="356" spans="1:20" ht="18" customHeight="1" x14ac:dyDescent="0.25">
      <c r="A356" s="189" t="str">
        <f>IF(G356&lt;&gt;"",1+MAX($A$2:A355),"")</f>
        <v/>
      </c>
      <c r="B356" s="228"/>
      <c r="C356" s="190"/>
      <c r="D356" s="226" t="s">
        <v>629</v>
      </c>
      <c r="E356" s="135"/>
      <c r="F356" s="205"/>
      <c r="G356" s="65"/>
      <c r="H356" s="37"/>
      <c r="I356" s="170"/>
      <c r="J356" s="60"/>
      <c r="K356" s="206"/>
      <c r="L356" s="60"/>
      <c r="M356" s="39"/>
      <c r="N356" s="41"/>
      <c r="O356" s="9"/>
      <c r="P356" s="318">
        <f t="shared" si="303"/>
        <v>0</v>
      </c>
      <c r="Q356" s="319">
        <f t="shared" si="304"/>
        <v>0</v>
      </c>
      <c r="R356" s="9"/>
      <c r="S356" s="9"/>
      <c r="T356" s="9"/>
    </row>
    <row r="357" spans="1:20" ht="18" customHeight="1" x14ac:dyDescent="0.2">
      <c r="A357" s="33">
        <f>IF(G357&lt;&gt;"",1+MAX($A$2:A356),"")</f>
        <v>218</v>
      </c>
      <c r="B357" s="228"/>
      <c r="C357" s="95"/>
      <c r="D357" s="329" t="s">
        <v>630</v>
      </c>
      <c r="E357" s="204" t="s">
        <v>7</v>
      </c>
      <c r="F357" s="330">
        <v>5215</v>
      </c>
      <c r="G357" s="36">
        <v>0.05</v>
      </c>
      <c r="H357" s="37">
        <f t="shared" ref="H357" si="306">(G357*F357)+F357</f>
        <v>5475.75</v>
      </c>
      <c r="I357" s="133">
        <v>2.5000000000000001E-2</v>
      </c>
      <c r="J357" s="240">
        <v>72</v>
      </c>
      <c r="K357" s="195">
        <f>I357*J357</f>
        <v>1.8</v>
      </c>
      <c r="L357" s="195">
        <v>2.25</v>
      </c>
      <c r="M357" s="39">
        <f>+L357+K357</f>
        <v>4.05</v>
      </c>
      <c r="N357" s="40">
        <f>H357*M357</f>
        <v>22176.787499999999</v>
      </c>
      <c r="O357" s="9"/>
      <c r="P357" s="318">
        <f t="shared" si="303"/>
        <v>9856.35</v>
      </c>
      <c r="Q357" s="319">
        <f t="shared" si="304"/>
        <v>12320.4375</v>
      </c>
      <c r="R357" s="9"/>
      <c r="S357" s="9"/>
      <c r="T357" s="9"/>
    </row>
    <row r="358" spans="1:20" ht="18" customHeight="1" x14ac:dyDescent="0.25">
      <c r="A358" s="189" t="str">
        <f>IF(G358&lt;&gt;"",1+MAX($A$2:A353),"")</f>
        <v/>
      </c>
      <c r="B358" s="190"/>
      <c r="C358" s="191"/>
      <c r="D358" s="226" t="s">
        <v>500</v>
      </c>
      <c r="E358" s="227"/>
      <c r="F358" s="71"/>
      <c r="G358" s="65"/>
      <c r="H358" s="37"/>
      <c r="I358" s="66"/>
      <c r="J358" s="242"/>
      <c r="K358" s="60"/>
      <c r="L358" s="60"/>
      <c r="M358" s="39"/>
      <c r="N358" s="41"/>
      <c r="O358" s="9"/>
      <c r="P358" s="318">
        <f t="shared" si="293"/>
        <v>0</v>
      </c>
      <c r="Q358" s="319">
        <f t="shared" si="294"/>
        <v>0</v>
      </c>
      <c r="R358" s="9"/>
      <c r="S358" s="9"/>
      <c r="T358" s="9"/>
    </row>
    <row r="359" spans="1:20" ht="15.75" x14ac:dyDescent="0.2">
      <c r="A359" s="112" t="str">
        <f>IF(G359&lt;&gt;"",1+MAX($A$2:A358),"")</f>
        <v/>
      </c>
      <c r="B359" s="35"/>
      <c r="C359" s="192"/>
      <c r="D359" s="136" t="s">
        <v>501</v>
      </c>
      <c r="E359" s="198"/>
      <c r="F359" s="94"/>
      <c r="G359" s="36"/>
      <c r="H359" s="37"/>
      <c r="I359" s="169"/>
      <c r="J359" s="243"/>
      <c r="K359" s="195"/>
      <c r="L359" s="195"/>
      <c r="M359" s="39"/>
      <c r="N359" s="40"/>
      <c r="O359" s="9"/>
      <c r="P359" s="318">
        <f t="shared" si="293"/>
        <v>0</v>
      </c>
      <c r="Q359" s="319">
        <f t="shared" si="294"/>
        <v>0</v>
      </c>
      <c r="R359" s="9"/>
      <c r="S359" s="9"/>
      <c r="T359" s="9"/>
    </row>
    <row r="360" spans="1:20" ht="31.15" customHeight="1" x14ac:dyDescent="0.2">
      <c r="A360" s="112">
        <f>IF(G360&lt;&gt;"",1+MAX($A$2:A359),"")</f>
        <v>219</v>
      </c>
      <c r="B360" s="367" t="s">
        <v>322</v>
      </c>
      <c r="C360" s="370" t="s">
        <v>502</v>
      </c>
      <c r="D360" s="27" t="s">
        <v>503</v>
      </c>
      <c r="E360" s="202" t="s">
        <v>32</v>
      </c>
      <c r="F360" s="37">
        <v>1</v>
      </c>
      <c r="G360" s="36">
        <v>0</v>
      </c>
      <c r="H360" s="37">
        <f t="shared" ref="H360:H361" si="307">(G360*F360)+F360</f>
        <v>1</v>
      </c>
      <c r="I360" s="133">
        <v>0.35799999999999998</v>
      </c>
      <c r="J360" s="240">
        <v>72</v>
      </c>
      <c r="K360" s="195">
        <f t="shared" ref="K360:K361" si="308">I360*J360</f>
        <v>25.776</v>
      </c>
      <c r="L360" s="195">
        <v>81</v>
      </c>
      <c r="M360" s="39">
        <f t="shared" ref="M360:M361" si="309">+L360+K360</f>
        <v>106.776</v>
      </c>
      <c r="N360" s="40">
        <f t="shared" ref="N360:N361" si="310">H360*M360</f>
        <v>106.776</v>
      </c>
      <c r="O360" s="9"/>
      <c r="P360" s="318">
        <f t="shared" si="293"/>
        <v>25.776</v>
      </c>
      <c r="Q360" s="319">
        <f t="shared" si="294"/>
        <v>81</v>
      </c>
      <c r="R360" s="9"/>
      <c r="S360" s="9"/>
      <c r="T360" s="9"/>
    </row>
    <row r="361" spans="1:20" ht="15.75" x14ac:dyDescent="0.2">
      <c r="A361" s="112">
        <f>IF(G361&lt;&gt;"",1+MAX($A$2:A360),"")</f>
        <v>220</v>
      </c>
      <c r="B361" s="368"/>
      <c r="C361" s="371"/>
      <c r="D361" s="27" t="s">
        <v>504</v>
      </c>
      <c r="E361" s="202" t="s">
        <v>32</v>
      </c>
      <c r="F361" s="37">
        <v>4</v>
      </c>
      <c r="G361" s="36">
        <v>0</v>
      </c>
      <c r="H361" s="37">
        <f t="shared" si="307"/>
        <v>4</v>
      </c>
      <c r="I361" s="133">
        <v>0.35</v>
      </c>
      <c r="J361" s="240">
        <v>72</v>
      </c>
      <c r="K361" s="195">
        <f t="shared" si="308"/>
        <v>25.2</v>
      </c>
      <c r="L361" s="195">
        <v>74.97</v>
      </c>
      <c r="M361" s="39">
        <f t="shared" si="309"/>
        <v>100.17</v>
      </c>
      <c r="N361" s="40">
        <f t="shared" si="310"/>
        <v>400.68</v>
      </c>
      <c r="O361" s="9"/>
      <c r="P361" s="318">
        <f t="shared" si="293"/>
        <v>100.8</v>
      </c>
      <c r="Q361" s="319">
        <f t="shared" si="294"/>
        <v>299.88</v>
      </c>
      <c r="R361" s="9"/>
      <c r="S361" s="9"/>
      <c r="T361" s="9"/>
    </row>
    <row r="362" spans="1:20" ht="15.75" x14ac:dyDescent="0.2">
      <c r="A362" s="112" t="str">
        <f>IF(G362&lt;&gt;"",1+MAX($A$2:A361),"")</f>
        <v/>
      </c>
      <c r="B362" s="368"/>
      <c r="C362" s="192"/>
      <c r="D362" s="136" t="s">
        <v>505</v>
      </c>
      <c r="E362" s="198"/>
      <c r="F362" s="94"/>
      <c r="G362" s="36"/>
      <c r="H362" s="37"/>
      <c r="I362" s="169"/>
      <c r="J362" s="243"/>
      <c r="K362" s="195"/>
      <c r="L362" s="195"/>
      <c r="M362" s="39"/>
      <c r="N362" s="40"/>
      <c r="O362" s="9"/>
      <c r="P362" s="318">
        <f t="shared" si="293"/>
        <v>0</v>
      </c>
      <c r="Q362" s="319">
        <f t="shared" si="294"/>
        <v>0</v>
      </c>
      <c r="R362" s="9"/>
      <c r="S362" s="9"/>
      <c r="T362" s="9"/>
    </row>
    <row r="363" spans="1:20" ht="63" x14ac:dyDescent="0.2">
      <c r="A363" s="112">
        <f>IF(G363&lt;&gt;"",1+MAX($A$2:A362),"")</f>
        <v>221</v>
      </c>
      <c r="B363" s="368"/>
      <c r="C363" s="370" t="s">
        <v>506</v>
      </c>
      <c r="D363" s="160" t="s">
        <v>507</v>
      </c>
      <c r="E363" s="202" t="s">
        <v>32</v>
      </c>
      <c r="F363" s="37">
        <v>14</v>
      </c>
      <c r="G363" s="36">
        <v>0</v>
      </c>
      <c r="H363" s="37">
        <f t="shared" ref="H363:H364" si="311">(G363*F363)+F363</f>
        <v>14</v>
      </c>
      <c r="I363" s="133">
        <v>0.37</v>
      </c>
      <c r="J363" s="240">
        <v>72</v>
      </c>
      <c r="K363" s="195">
        <f t="shared" ref="K363:K364" si="312">I363*J363</f>
        <v>26.64</v>
      </c>
      <c r="L363" s="195">
        <v>130.01</v>
      </c>
      <c r="M363" s="39">
        <f t="shared" ref="M363:M364" si="313">+L363+K363</f>
        <v>156.64999999999998</v>
      </c>
      <c r="N363" s="40">
        <f t="shared" ref="N363:N364" si="314">H363*M363</f>
        <v>2193.0999999999995</v>
      </c>
      <c r="O363" s="9"/>
      <c r="P363" s="318">
        <f t="shared" si="293"/>
        <v>372.96000000000004</v>
      </c>
      <c r="Q363" s="319">
        <f t="shared" si="294"/>
        <v>1820.1399999999999</v>
      </c>
      <c r="R363" s="9"/>
      <c r="S363" s="9"/>
      <c r="T363" s="9"/>
    </row>
    <row r="364" spans="1:20" ht="63" x14ac:dyDescent="0.2">
      <c r="A364" s="112">
        <f>IF(G364&lt;&gt;"",1+MAX($A$2:A363),"")</f>
        <v>222</v>
      </c>
      <c r="B364" s="368"/>
      <c r="C364" s="371"/>
      <c r="D364" s="160" t="s">
        <v>508</v>
      </c>
      <c r="E364" s="202" t="s">
        <v>32</v>
      </c>
      <c r="F364" s="37">
        <v>3</v>
      </c>
      <c r="G364" s="36">
        <v>0</v>
      </c>
      <c r="H364" s="37">
        <f t="shared" si="311"/>
        <v>3</v>
      </c>
      <c r="I364" s="133">
        <v>0.37</v>
      </c>
      <c r="J364" s="240">
        <v>72</v>
      </c>
      <c r="K364" s="195">
        <f t="shared" si="312"/>
        <v>26.64</v>
      </c>
      <c r="L364" s="195">
        <v>130.01</v>
      </c>
      <c r="M364" s="39">
        <f t="shared" si="313"/>
        <v>156.64999999999998</v>
      </c>
      <c r="N364" s="40">
        <f t="shared" si="314"/>
        <v>469.94999999999993</v>
      </c>
      <c r="O364" s="9"/>
      <c r="P364" s="318">
        <f t="shared" si="293"/>
        <v>79.92</v>
      </c>
      <c r="Q364" s="319">
        <f t="shared" si="294"/>
        <v>390.03</v>
      </c>
      <c r="R364" s="9"/>
      <c r="S364" s="9"/>
      <c r="T364" s="9"/>
    </row>
    <row r="365" spans="1:20" ht="15.75" x14ac:dyDescent="0.2">
      <c r="A365" s="112" t="str">
        <f>IF(G365&lt;&gt;"",1+MAX($A$2:A364),"")</f>
        <v/>
      </c>
      <c r="B365" s="368"/>
      <c r="C365" s="371"/>
      <c r="D365" s="136" t="s">
        <v>509</v>
      </c>
      <c r="E365" s="198"/>
      <c r="F365" s="94"/>
      <c r="G365" s="36"/>
      <c r="H365" s="37"/>
      <c r="I365" s="169"/>
      <c r="J365" s="243"/>
      <c r="K365" s="195"/>
      <c r="L365" s="195"/>
      <c r="M365" s="39"/>
      <c r="N365" s="40"/>
      <c r="O365" s="9"/>
      <c r="P365" s="318">
        <f t="shared" si="293"/>
        <v>0</v>
      </c>
      <c r="Q365" s="319">
        <f t="shared" si="294"/>
        <v>0</v>
      </c>
      <c r="R365" s="9"/>
      <c r="S365" s="9"/>
      <c r="T365" s="9"/>
    </row>
    <row r="366" spans="1:20" ht="63" x14ac:dyDescent="0.2">
      <c r="A366" s="112">
        <f>IF(G366&lt;&gt;"",1+MAX($A$2:A365),"")</f>
        <v>223</v>
      </c>
      <c r="B366" s="368"/>
      <c r="C366" s="371"/>
      <c r="D366" s="160" t="s">
        <v>510</v>
      </c>
      <c r="E366" s="202" t="s">
        <v>32</v>
      </c>
      <c r="F366" s="37">
        <v>17</v>
      </c>
      <c r="G366" s="36">
        <v>0</v>
      </c>
      <c r="H366" s="37">
        <f t="shared" ref="H366:H367" si="315">(G366*F366)+F366</f>
        <v>17</v>
      </c>
      <c r="I366" s="133">
        <v>0.37</v>
      </c>
      <c r="J366" s="240">
        <v>72</v>
      </c>
      <c r="K366" s="195">
        <f t="shared" ref="K366:K367" si="316">I366*J366</f>
        <v>26.64</v>
      </c>
      <c r="L366" s="195">
        <v>130.01</v>
      </c>
      <c r="M366" s="39">
        <f t="shared" ref="M366" si="317">+L366+K366</f>
        <v>156.64999999999998</v>
      </c>
      <c r="N366" s="40">
        <f t="shared" ref="N366" si="318">H366*M366</f>
        <v>2663.0499999999997</v>
      </c>
      <c r="O366" s="9"/>
      <c r="P366" s="318">
        <f t="shared" si="293"/>
        <v>452.88</v>
      </c>
      <c r="Q366" s="319">
        <f t="shared" si="294"/>
        <v>2210.17</v>
      </c>
      <c r="R366" s="9"/>
      <c r="S366" s="9"/>
      <c r="T366" s="9"/>
    </row>
    <row r="367" spans="1:20" ht="63" x14ac:dyDescent="0.2">
      <c r="A367" s="112">
        <f>IF(G367&lt;&gt;"",1+MAX($A$2:A366),"")</f>
        <v>224</v>
      </c>
      <c r="B367" s="368"/>
      <c r="C367" s="372"/>
      <c r="D367" s="160" t="s">
        <v>511</v>
      </c>
      <c r="E367" s="202" t="s">
        <v>32</v>
      </c>
      <c r="F367" s="37">
        <v>5</v>
      </c>
      <c r="G367" s="36">
        <v>0</v>
      </c>
      <c r="H367" s="37">
        <f t="shared" si="315"/>
        <v>5</v>
      </c>
      <c r="I367" s="133">
        <v>0.37</v>
      </c>
      <c r="J367" s="240">
        <v>72</v>
      </c>
      <c r="K367" s="195">
        <f t="shared" si="316"/>
        <v>26.64</v>
      </c>
      <c r="L367" s="195">
        <v>130.01</v>
      </c>
      <c r="M367" s="39">
        <f t="shared" ref="M367" si="319">+L367+K367</f>
        <v>156.64999999999998</v>
      </c>
      <c r="N367" s="40">
        <f t="shared" ref="N367" si="320">H367*M367</f>
        <v>783.24999999999989</v>
      </c>
      <c r="O367" s="9"/>
      <c r="P367" s="318">
        <f t="shared" si="293"/>
        <v>133.19999999999999</v>
      </c>
      <c r="Q367" s="319">
        <f t="shared" si="294"/>
        <v>650.04999999999995</v>
      </c>
      <c r="R367" s="9"/>
      <c r="S367" s="9"/>
      <c r="T367" s="9"/>
    </row>
    <row r="368" spans="1:20" ht="18" customHeight="1" x14ac:dyDescent="0.25">
      <c r="A368" s="189" t="str">
        <f>IF(G368&lt;&gt;"",1+MAX($A$2:A367),"")</f>
        <v/>
      </c>
      <c r="B368" s="190"/>
      <c r="C368" s="191"/>
      <c r="D368" s="226" t="s">
        <v>512</v>
      </c>
      <c r="E368" s="227"/>
      <c r="F368" s="71"/>
      <c r="G368" s="65"/>
      <c r="H368" s="37"/>
      <c r="I368" s="66"/>
      <c r="J368" s="242"/>
      <c r="K368" s="60"/>
      <c r="L368" s="60"/>
      <c r="M368" s="39"/>
      <c r="N368" s="41"/>
      <c r="O368" s="9"/>
      <c r="P368" s="318">
        <f t="shared" si="293"/>
        <v>0</v>
      </c>
      <c r="Q368" s="319">
        <f t="shared" si="294"/>
        <v>0</v>
      </c>
      <c r="R368" s="9"/>
      <c r="S368" s="9"/>
      <c r="T368" s="9"/>
    </row>
    <row r="369" spans="1:20" ht="15.75" x14ac:dyDescent="0.2">
      <c r="A369" s="112" t="str">
        <f>IF(G369&lt;&gt;"",1+MAX($A$2:A368),"")</f>
        <v/>
      </c>
      <c r="B369" s="35"/>
      <c r="C369" s="192"/>
      <c r="D369" s="136" t="s">
        <v>513</v>
      </c>
      <c r="E369" s="198"/>
      <c r="F369" s="94"/>
      <c r="G369" s="36"/>
      <c r="H369" s="37"/>
      <c r="I369" s="169"/>
      <c r="J369" s="243"/>
      <c r="K369" s="195"/>
      <c r="L369" s="195"/>
      <c r="M369" s="39"/>
      <c r="N369" s="40"/>
      <c r="O369" s="9"/>
      <c r="P369" s="318">
        <f t="shared" si="293"/>
        <v>0</v>
      </c>
      <c r="Q369" s="319">
        <f t="shared" si="294"/>
        <v>0</v>
      </c>
      <c r="R369" s="9"/>
      <c r="S369" s="9"/>
      <c r="T369" s="9"/>
    </row>
    <row r="370" spans="1:20" ht="31.5" x14ac:dyDescent="0.2">
      <c r="A370" s="112">
        <f>IF(G370&lt;&gt;"",1+MAX($A$2:A369),"")</f>
        <v>225</v>
      </c>
      <c r="B370" s="367" t="s">
        <v>322</v>
      </c>
      <c r="C370" s="367" t="s">
        <v>496</v>
      </c>
      <c r="D370" s="160" t="s">
        <v>514</v>
      </c>
      <c r="E370" s="202" t="s">
        <v>32</v>
      </c>
      <c r="F370" s="37">
        <v>1</v>
      </c>
      <c r="G370" s="36">
        <v>0</v>
      </c>
      <c r="H370" s="37">
        <f t="shared" ref="H370:H372" si="321">(G370*F370)+F370</f>
        <v>1</v>
      </c>
      <c r="I370" s="133">
        <v>0.35</v>
      </c>
      <c r="J370" s="240">
        <v>72</v>
      </c>
      <c r="K370" s="195">
        <f t="shared" ref="K370:K372" si="322">I370*J370</f>
        <v>25.2</v>
      </c>
      <c r="L370" s="195">
        <v>63.5</v>
      </c>
      <c r="M370" s="39">
        <f t="shared" ref="M370:M372" si="323">+L370+K370</f>
        <v>88.7</v>
      </c>
      <c r="N370" s="40">
        <f t="shared" ref="N370:N372" si="324">H370*M370</f>
        <v>88.7</v>
      </c>
      <c r="O370" s="9"/>
      <c r="P370" s="318">
        <f t="shared" si="293"/>
        <v>25.2</v>
      </c>
      <c r="Q370" s="319">
        <f t="shared" si="294"/>
        <v>63.5</v>
      </c>
      <c r="R370" s="9"/>
      <c r="S370" s="9"/>
      <c r="T370" s="9"/>
    </row>
    <row r="371" spans="1:20" ht="31.5" x14ac:dyDescent="0.2">
      <c r="A371" s="112">
        <f>IF(G371&lt;&gt;"",1+MAX($A$2:A370),"")</f>
        <v>226</v>
      </c>
      <c r="B371" s="368"/>
      <c r="C371" s="368"/>
      <c r="D371" s="160" t="s">
        <v>515</v>
      </c>
      <c r="E371" s="202" t="s">
        <v>32</v>
      </c>
      <c r="F371" s="37">
        <v>4</v>
      </c>
      <c r="G371" s="36">
        <v>0</v>
      </c>
      <c r="H371" s="37">
        <f t="shared" si="321"/>
        <v>4</v>
      </c>
      <c r="I371" s="133">
        <v>0.35</v>
      </c>
      <c r="J371" s="240">
        <v>72</v>
      </c>
      <c r="K371" s="195">
        <f t="shared" si="322"/>
        <v>25.2</v>
      </c>
      <c r="L371" s="195">
        <v>63.5</v>
      </c>
      <c r="M371" s="39">
        <f t="shared" si="323"/>
        <v>88.7</v>
      </c>
      <c r="N371" s="40">
        <f t="shared" si="324"/>
        <v>354.8</v>
      </c>
      <c r="O371" s="9"/>
      <c r="P371" s="318">
        <f t="shared" si="293"/>
        <v>100.8</v>
      </c>
      <c r="Q371" s="319">
        <f t="shared" si="294"/>
        <v>254</v>
      </c>
      <c r="R371" s="9"/>
      <c r="S371" s="9"/>
      <c r="T371" s="9"/>
    </row>
    <row r="372" spans="1:20" ht="31.5" x14ac:dyDescent="0.2">
      <c r="A372" s="112">
        <f>IF(G372&lt;&gt;"",1+MAX($A$2:A371),"")</f>
        <v>227</v>
      </c>
      <c r="B372" s="368"/>
      <c r="C372" s="368"/>
      <c r="D372" s="160" t="s">
        <v>516</v>
      </c>
      <c r="E372" s="202" t="s">
        <v>32</v>
      </c>
      <c r="F372" s="37">
        <v>15</v>
      </c>
      <c r="G372" s="36">
        <v>0</v>
      </c>
      <c r="H372" s="37">
        <f t="shared" si="321"/>
        <v>15</v>
      </c>
      <c r="I372" s="133">
        <v>0.35</v>
      </c>
      <c r="J372" s="240">
        <v>72</v>
      </c>
      <c r="K372" s="195">
        <f t="shared" si="322"/>
        <v>25.2</v>
      </c>
      <c r="L372" s="195">
        <v>63.5</v>
      </c>
      <c r="M372" s="39">
        <f t="shared" si="323"/>
        <v>88.7</v>
      </c>
      <c r="N372" s="40">
        <f t="shared" si="324"/>
        <v>1330.5</v>
      </c>
      <c r="O372" s="9"/>
      <c r="P372" s="318">
        <f t="shared" si="293"/>
        <v>378</v>
      </c>
      <c r="Q372" s="319">
        <f t="shared" si="294"/>
        <v>952.5</v>
      </c>
      <c r="R372" s="9"/>
      <c r="S372" s="9"/>
      <c r="T372" s="9"/>
    </row>
    <row r="373" spans="1:20" ht="15.75" x14ac:dyDescent="0.2">
      <c r="A373" s="112" t="str">
        <f>IF(G373&lt;&gt;"",1+MAX($A$2:A372),"")</f>
        <v/>
      </c>
      <c r="B373" s="368"/>
      <c r="C373" s="368"/>
      <c r="D373" s="136" t="s">
        <v>517</v>
      </c>
      <c r="E373" s="198"/>
      <c r="F373" s="94"/>
      <c r="G373" s="36"/>
      <c r="H373" s="37"/>
      <c r="I373" s="169"/>
      <c r="J373" s="243"/>
      <c r="K373" s="195"/>
      <c r="L373" s="195"/>
      <c r="M373" s="39"/>
      <c r="N373" s="40"/>
      <c r="O373" s="9"/>
      <c r="P373" s="318">
        <f t="shared" si="293"/>
        <v>0</v>
      </c>
      <c r="Q373" s="319">
        <f t="shared" si="294"/>
        <v>0</v>
      </c>
      <c r="R373" s="9"/>
      <c r="S373" s="9"/>
      <c r="T373" s="9"/>
    </row>
    <row r="374" spans="1:20" ht="15.75" x14ac:dyDescent="0.2">
      <c r="A374" s="112">
        <f>IF(G374&lt;&gt;"",1+MAX($A$2:A373),"")</f>
        <v>228</v>
      </c>
      <c r="B374" s="368"/>
      <c r="C374" s="368"/>
      <c r="D374" s="27" t="s">
        <v>518</v>
      </c>
      <c r="E374" s="202" t="s">
        <v>32</v>
      </c>
      <c r="F374" s="37">
        <v>8</v>
      </c>
      <c r="G374" s="36">
        <v>0</v>
      </c>
      <c r="H374" s="37">
        <f t="shared" ref="H374:H376" si="325">(G374*F374)+F374</f>
        <v>8</v>
      </c>
      <c r="I374" s="133">
        <v>0.35</v>
      </c>
      <c r="J374" s="240">
        <v>72</v>
      </c>
      <c r="K374" s="195">
        <f t="shared" ref="K374:K376" si="326">I374*J374</f>
        <v>25.2</v>
      </c>
      <c r="L374" s="195">
        <v>63.5</v>
      </c>
      <c r="M374" s="39">
        <f t="shared" ref="M374:M376" si="327">+L374+K374</f>
        <v>88.7</v>
      </c>
      <c r="N374" s="40">
        <f t="shared" ref="N374:N376" si="328">H374*M374</f>
        <v>709.6</v>
      </c>
      <c r="O374" s="9"/>
      <c r="P374" s="318">
        <f t="shared" si="293"/>
        <v>201.6</v>
      </c>
      <c r="Q374" s="319">
        <f t="shared" si="294"/>
        <v>508</v>
      </c>
      <c r="R374" s="9"/>
      <c r="S374" s="9"/>
      <c r="T374" s="9"/>
    </row>
    <row r="375" spans="1:20" ht="31.5" x14ac:dyDescent="0.2">
      <c r="A375" s="112">
        <f>IF(G375&lt;&gt;"",1+MAX($A$2:A374),"")</f>
        <v>229</v>
      </c>
      <c r="B375" s="368"/>
      <c r="C375" s="368"/>
      <c r="D375" s="160" t="s">
        <v>519</v>
      </c>
      <c r="E375" s="202" t="s">
        <v>32</v>
      </c>
      <c r="F375" s="37">
        <v>1</v>
      </c>
      <c r="G375" s="36">
        <v>0</v>
      </c>
      <c r="H375" s="37">
        <f t="shared" si="325"/>
        <v>1</v>
      </c>
      <c r="I375" s="133">
        <v>0.35</v>
      </c>
      <c r="J375" s="240">
        <v>72</v>
      </c>
      <c r="K375" s="195">
        <f t="shared" si="326"/>
        <v>25.2</v>
      </c>
      <c r="L375" s="195">
        <v>63.5</v>
      </c>
      <c r="M375" s="39">
        <f t="shared" si="327"/>
        <v>88.7</v>
      </c>
      <c r="N375" s="40">
        <f t="shared" si="328"/>
        <v>88.7</v>
      </c>
      <c r="O375" s="9"/>
      <c r="P375" s="318">
        <f t="shared" si="293"/>
        <v>25.2</v>
      </c>
      <c r="Q375" s="319">
        <f t="shared" si="294"/>
        <v>63.5</v>
      </c>
      <c r="R375" s="9"/>
      <c r="S375" s="9"/>
      <c r="T375" s="9"/>
    </row>
    <row r="376" spans="1:20" ht="31.5" x14ac:dyDescent="0.2">
      <c r="A376" s="112">
        <f>IF(G376&lt;&gt;"",1+MAX($A$2:A375),"")</f>
        <v>230</v>
      </c>
      <c r="B376" s="369"/>
      <c r="C376" s="369"/>
      <c r="D376" s="160" t="s">
        <v>520</v>
      </c>
      <c r="E376" s="202" t="s">
        <v>32</v>
      </c>
      <c r="F376" s="37">
        <v>1</v>
      </c>
      <c r="G376" s="36">
        <v>0</v>
      </c>
      <c r="H376" s="37">
        <f t="shared" si="325"/>
        <v>1</v>
      </c>
      <c r="I376" s="133">
        <v>0.35</v>
      </c>
      <c r="J376" s="240">
        <v>72</v>
      </c>
      <c r="K376" s="195">
        <f t="shared" si="326"/>
        <v>25.2</v>
      </c>
      <c r="L376" s="195">
        <v>63.5</v>
      </c>
      <c r="M376" s="39">
        <f t="shared" si="327"/>
        <v>88.7</v>
      </c>
      <c r="N376" s="40">
        <f t="shared" si="328"/>
        <v>88.7</v>
      </c>
      <c r="O376" s="9"/>
      <c r="P376" s="318">
        <f t="shared" si="293"/>
        <v>25.2</v>
      </c>
      <c r="Q376" s="319">
        <f t="shared" si="294"/>
        <v>63.5</v>
      </c>
      <c r="R376" s="9"/>
      <c r="S376" s="9"/>
      <c r="T376" s="9"/>
    </row>
    <row r="377" spans="1:20" ht="18" customHeight="1" x14ac:dyDescent="0.25">
      <c r="A377" s="189" t="str">
        <f>IF(G377&lt;&gt;"",1+MAX($A$2:A376),"")</f>
        <v/>
      </c>
      <c r="B377" s="368"/>
      <c r="C377" s="63"/>
      <c r="D377" s="226" t="s">
        <v>521</v>
      </c>
      <c r="E377" s="227"/>
      <c r="F377" s="71"/>
      <c r="G377" s="65"/>
      <c r="H377" s="37"/>
      <c r="I377" s="66"/>
      <c r="J377" s="242"/>
      <c r="K377" s="60"/>
      <c r="L377" s="60"/>
      <c r="M377" s="39"/>
      <c r="N377" s="41"/>
      <c r="O377" s="9"/>
      <c r="P377" s="318">
        <f t="shared" ref="P377:P378" si="329">K377*H377</f>
        <v>0</v>
      </c>
      <c r="Q377" s="319">
        <f t="shared" ref="Q377:Q378" si="330">L377*H377</f>
        <v>0</v>
      </c>
      <c r="R377" s="9"/>
      <c r="S377" s="9"/>
      <c r="T377" s="9"/>
    </row>
    <row r="378" spans="1:20" ht="63" x14ac:dyDescent="0.2">
      <c r="A378" s="112">
        <f>IF(G378&lt;&gt;"",1+MAX($A$2:A377),"")</f>
        <v>231</v>
      </c>
      <c r="B378" s="368"/>
      <c r="C378" s="231" t="s">
        <v>522</v>
      </c>
      <c r="D378" s="160" t="s">
        <v>614</v>
      </c>
      <c r="E378" s="204" t="s">
        <v>32</v>
      </c>
      <c r="F378" s="37">
        <v>15</v>
      </c>
      <c r="G378" s="36">
        <v>0</v>
      </c>
      <c r="H378" s="37">
        <f t="shared" ref="H378" si="331">(G378*F378)+F378</f>
        <v>15</v>
      </c>
      <c r="I378" s="133">
        <v>5.7759999999999998</v>
      </c>
      <c r="J378" s="240">
        <v>72</v>
      </c>
      <c r="K378" s="195">
        <f t="shared" ref="K378" si="332">I378*J378</f>
        <v>415.87199999999996</v>
      </c>
      <c r="L378" s="195">
        <v>3046</v>
      </c>
      <c r="M378" s="39">
        <f t="shared" ref="M378" si="333">+L378+K378</f>
        <v>3461.8719999999998</v>
      </c>
      <c r="N378" s="40">
        <f t="shared" ref="N378" si="334">H378*M378</f>
        <v>51928.079999999994</v>
      </c>
      <c r="O378" s="9"/>
      <c r="P378" s="318">
        <f t="shared" si="329"/>
        <v>6238.079999999999</v>
      </c>
      <c r="Q378" s="319">
        <f t="shared" si="330"/>
        <v>45690</v>
      </c>
      <c r="R378" s="9"/>
      <c r="S378" s="9"/>
      <c r="T378" s="9"/>
    </row>
    <row r="379" spans="1:20" ht="15.75" x14ac:dyDescent="0.2">
      <c r="A379" s="112" t="str">
        <f>IF(G379&lt;&gt;"",1+MAX($A$2:A378),"")</f>
        <v/>
      </c>
      <c r="B379" s="368"/>
      <c r="C379" s="192"/>
      <c r="D379" s="136" t="s">
        <v>523</v>
      </c>
      <c r="E379" s="198"/>
      <c r="F379" s="94"/>
      <c r="G379" s="36"/>
      <c r="H379" s="37"/>
      <c r="I379" s="169"/>
      <c r="J379" s="243"/>
      <c r="K379" s="195"/>
      <c r="L379" s="195"/>
      <c r="M379" s="39"/>
      <c r="N379" s="40"/>
      <c r="O379" s="9"/>
      <c r="P379" s="318">
        <f t="shared" si="293"/>
        <v>0</v>
      </c>
      <c r="Q379" s="319">
        <f t="shared" si="294"/>
        <v>0</v>
      </c>
      <c r="R379" s="9"/>
      <c r="S379" s="9"/>
      <c r="T379" s="9"/>
    </row>
    <row r="380" spans="1:20" ht="15.75" x14ac:dyDescent="0.2">
      <c r="A380" s="112">
        <f>IF(G380&lt;&gt;"",1+MAX($A$2:A379),"")</f>
        <v>232</v>
      </c>
      <c r="B380" s="369"/>
      <c r="C380" s="35" t="s">
        <v>524</v>
      </c>
      <c r="D380" s="326" t="s">
        <v>525</v>
      </c>
      <c r="E380" s="202" t="s">
        <v>32</v>
      </c>
      <c r="F380" s="37">
        <v>12</v>
      </c>
      <c r="G380" s="36">
        <v>0</v>
      </c>
      <c r="H380" s="37">
        <f t="shared" ref="H380" si="335">(G380*F380)+F380</f>
        <v>12</v>
      </c>
      <c r="I380" s="133">
        <v>2.54</v>
      </c>
      <c r="J380" s="240">
        <v>72</v>
      </c>
      <c r="K380" s="195">
        <f t="shared" ref="K380" si="336">I380*J380</f>
        <v>182.88</v>
      </c>
      <c r="L380" s="335">
        <v>1600</v>
      </c>
      <c r="M380" s="39">
        <f t="shared" ref="M380" si="337">+L380+K380</f>
        <v>1782.88</v>
      </c>
      <c r="N380" s="40">
        <f t="shared" ref="N380" si="338">H380*M380</f>
        <v>21394.560000000001</v>
      </c>
      <c r="O380" s="9"/>
      <c r="P380" s="318">
        <f t="shared" si="293"/>
        <v>2194.56</v>
      </c>
      <c r="Q380" s="319">
        <f t="shared" si="294"/>
        <v>19200</v>
      </c>
      <c r="R380" s="9"/>
      <c r="S380" s="9"/>
      <c r="T380" s="9"/>
    </row>
    <row r="381" spans="1:20" ht="18" customHeight="1" x14ac:dyDescent="0.2">
      <c r="A381" s="189" t="str">
        <f>IF(G381&lt;&gt;"",1+MAX($A$2:A380),"")</f>
        <v/>
      </c>
      <c r="B381" s="190"/>
      <c r="C381" s="191"/>
      <c r="D381" s="226" t="s">
        <v>526</v>
      </c>
      <c r="E381" s="227"/>
      <c r="F381" s="71"/>
      <c r="G381" s="27"/>
      <c r="H381" s="202"/>
      <c r="I381" s="66"/>
      <c r="J381" s="242"/>
      <c r="K381" s="60"/>
      <c r="L381" s="60"/>
      <c r="M381" s="39"/>
      <c r="N381" s="41"/>
      <c r="O381" s="9"/>
      <c r="P381" s="318">
        <f t="shared" si="293"/>
        <v>0</v>
      </c>
      <c r="Q381" s="319">
        <f t="shared" si="294"/>
        <v>0</v>
      </c>
      <c r="R381" s="9"/>
      <c r="S381" s="9"/>
      <c r="T381" s="9"/>
    </row>
    <row r="382" spans="1:20" ht="78.75" x14ac:dyDescent="0.2">
      <c r="A382" s="112">
        <f>IF(G382&lt;&gt;"",1+MAX($A$2:A381),"")</f>
        <v>233</v>
      </c>
      <c r="B382" s="367" t="s">
        <v>322</v>
      </c>
      <c r="C382" s="370" t="s">
        <v>527</v>
      </c>
      <c r="D382" s="160" t="s">
        <v>528</v>
      </c>
      <c r="E382" s="202" t="s">
        <v>32</v>
      </c>
      <c r="F382" s="37">
        <v>2</v>
      </c>
      <c r="G382" s="36">
        <v>0</v>
      </c>
      <c r="H382" s="37">
        <f t="shared" ref="H382:H386" si="339">(G382*F382)+F382</f>
        <v>2</v>
      </c>
      <c r="I382" s="133">
        <v>0.38500000000000001</v>
      </c>
      <c r="J382" s="240">
        <v>72</v>
      </c>
      <c r="K382" s="195">
        <f t="shared" ref="K382:K386" si="340">I382*J382</f>
        <v>27.72</v>
      </c>
      <c r="L382" s="195">
        <v>107.99</v>
      </c>
      <c r="M382" s="39">
        <f t="shared" ref="M382:M386" si="341">+L382+K382</f>
        <v>135.70999999999998</v>
      </c>
      <c r="N382" s="40">
        <f t="shared" ref="N382:N386" si="342">H382*M382</f>
        <v>271.41999999999996</v>
      </c>
      <c r="O382" s="9"/>
      <c r="P382" s="318">
        <f t="shared" ref="P382:P445" si="343">K382*H382</f>
        <v>55.44</v>
      </c>
      <c r="Q382" s="319">
        <f t="shared" ref="Q382:Q445" si="344">L382*H382</f>
        <v>215.98</v>
      </c>
      <c r="R382" s="9"/>
      <c r="S382" s="9"/>
      <c r="T382" s="9"/>
    </row>
    <row r="383" spans="1:20" ht="78.75" x14ac:dyDescent="0.2">
      <c r="A383" s="112">
        <f>IF(G383&lt;&gt;"",1+MAX($A$2:A382),"")</f>
        <v>234</v>
      </c>
      <c r="B383" s="368"/>
      <c r="C383" s="371"/>
      <c r="D383" s="160" t="s">
        <v>529</v>
      </c>
      <c r="E383" s="202" t="s">
        <v>32</v>
      </c>
      <c r="F383" s="37">
        <v>2</v>
      </c>
      <c r="G383" s="36">
        <v>0</v>
      </c>
      <c r="H383" s="37">
        <f t="shared" si="339"/>
        <v>2</v>
      </c>
      <c r="I383" s="133">
        <v>0.38</v>
      </c>
      <c r="J383" s="240">
        <v>72</v>
      </c>
      <c r="K383" s="195">
        <f t="shared" si="340"/>
        <v>27.36</v>
      </c>
      <c r="L383" s="195">
        <v>101.84</v>
      </c>
      <c r="M383" s="39">
        <f t="shared" si="341"/>
        <v>129.19999999999999</v>
      </c>
      <c r="N383" s="40">
        <f t="shared" si="342"/>
        <v>258.39999999999998</v>
      </c>
      <c r="O383" s="9"/>
      <c r="P383" s="318">
        <f t="shared" si="343"/>
        <v>54.72</v>
      </c>
      <c r="Q383" s="319">
        <f t="shared" si="344"/>
        <v>203.68</v>
      </c>
      <c r="R383" s="9"/>
      <c r="S383" s="9"/>
      <c r="T383" s="9"/>
    </row>
    <row r="384" spans="1:20" ht="78.75" x14ac:dyDescent="0.2">
      <c r="A384" s="112">
        <f>IF(G384&lt;&gt;"",1+MAX($A$2:A383),"")</f>
        <v>235</v>
      </c>
      <c r="B384" s="368"/>
      <c r="C384" s="371"/>
      <c r="D384" s="160" t="s">
        <v>530</v>
      </c>
      <c r="E384" s="202" t="s">
        <v>32</v>
      </c>
      <c r="F384" s="37">
        <v>2</v>
      </c>
      <c r="G384" s="36">
        <v>0</v>
      </c>
      <c r="H384" s="37">
        <f t="shared" si="339"/>
        <v>2</v>
      </c>
      <c r="I384" s="133">
        <v>0.38</v>
      </c>
      <c r="J384" s="240">
        <v>72</v>
      </c>
      <c r="K384" s="195">
        <f t="shared" si="340"/>
        <v>27.36</v>
      </c>
      <c r="L384" s="195">
        <v>101.84</v>
      </c>
      <c r="M384" s="39">
        <f t="shared" si="341"/>
        <v>129.19999999999999</v>
      </c>
      <c r="N384" s="40">
        <f t="shared" si="342"/>
        <v>258.39999999999998</v>
      </c>
      <c r="O384" s="9"/>
      <c r="P384" s="318">
        <f t="shared" si="343"/>
        <v>54.72</v>
      </c>
      <c r="Q384" s="319">
        <f t="shared" si="344"/>
        <v>203.68</v>
      </c>
      <c r="R384" s="9"/>
      <c r="S384" s="9"/>
      <c r="T384" s="9"/>
    </row>
    <row r="385" spans="1:20" ht="78.75" x14ac:dyDescent="0.2">
      <c r="A385" s="112">
        <f>IF(G385&lt;&gt;"",1+MAX($A$2:A384),"")</f>
        <v>236</v>
      </c>
      <c r="B385" s="368"/>
      <c r="C385" s="371"/>
      <c r="D385" s="160" t="s">
        <v>531</v>
      </c>
      <c r="E385" s="202" t="s">
        <v>32</v>
      </c>
      <c r="F385" s="37">
        <v>2</v>
      </c>
      <c r="G385" s="36">
        <v>0</v>
      </c>
      <c r="H385" s="37">
        <f t="shared" si="339"/>
        <v>2</v>
      </c>
      <c r="I385" s="133">
        <v>0.38</v>
      </c>
      <c r="J385" s="240">
        <v>72</v>
      </c>
      <c r="K385" s="195">
        <f t="shared" si="340"/>
        <v>27.36</v>
      </c>
      <c r="L385" s="195">
        <v>101.84</v>
      </c>
      <c r="M385" s="39">
        <f t="shared" si="341"/>
        <v>129.19999999999999</v>
      </c>
      <c r="N385" s="40">
        <f t="shared" si="342"/>
        <v>258.39999999999998</v>
      </c>
      <c r="O385" s="9"/>
      <c r="P385" s="318">
        <f t="shared" si="343"/>
        <v>54.72</v>
      </c>
      <c r="Q385" s="319">
        <f t="shared" si="344"/>
        <v>203.68</v>
      </c>
      <c r="R385" s="9"/>
      <c r="S385" s="9"/>
      <c r="T385" s="9"/>
    </row>
    <row r="386" spans="1:20" ht="78.75" x14ac:dyDescent="0.2">
      <c r="A386" s="112">
        <f>IF(G386&lt;&gt;"",1+MAX($A$2:A385),"")</f>
        <v>237</v>
      </c>
      <c r="B386" s="369"/>
      <c r="C386" s="372"/>
      <c r="D386" s="160" t="s">
        <v>532</v>
      </c>
      <c r="E386" s="202" t="s">
        <v>32</v>
      </c>
      <c r="F386" s="37">
        <v>2</v>
      </c>
      <c r="G386" s="36">
        <v>0</v>
      </c>
      <c r="H386" s="37">
        <f t="shared" si="339"/>
        <v>2</v>
      </c>
      <c r="I386" s="133">
        <v>0.38</v>
      </c>
      <c r="J386" s="240">
        <v>72</v>
      </c>
      <c r="K386" s="195">
        <f t="shared" si="340"/>
        <v>27.36</v>
      </c>
      <c r="L386" s="195">
        <v>101.84</v>
      </c>
      <c r="M386" s="39">
        <f t="shared" si="341"/>
        <v>129.19999999999999</v>
      </c>
      <c r="N386" s="40">
        <f t="shared" si="342"/>
        <v>258.39999999999998</v>
      </c>
      <c r="O386" s="9"/>
      <c r="P386" s="318">
        <f t="shared" si="343"/>
        <v>54.72</v>
      </c>
      <c r="Q386" s="319">
        <f t="shared" si="344"/>
        <v>203.68</v>
      </c>
      <c r="R386" s="9"/>
      <c r="S386" s="9"/>
      <c r="T386" s="9"/>
    </row>
    <row r="387" spans="1:20" ht="18" customHeight="1" x14ac:dyDescent="0.2">
      <c r="A387" s="112" t="str">
        <f>IF(G387&lt;&gt;"",1+MAX($A$2:A386),"")</f>
        <v/>
      </c>
      <c r="B387" s="35"/>
      <c r="C387" s="192"/>
      <c r="D387" s="226" t="s">
        <v>533</v>
      </c>
      <c r="E387" s="227"/>
      <c r="F387" s="94"/>
      <c r="G387" s="36"/>
      <c r="H387" s="37"/>
      <c r="I387" s="169"/>
      <c r="J387" s="243"/>
      <c r="K387" s="195"/>
      <c r="L387" s="195"/>
      <c r="M387" s="39"/>
      <c r="N387" s="40"/>
      <c r="O387" s="9"/>
      <c r="P387" s="318">
        <f t="shared" si="343"/>
        <v>0</v>
      </c>
      <c r="Q387" s="319">
        <f t="shared" si="344"/>
        <v>0</v>
      </c>
      <c r="R387" s="9"/>
      <c r="S387" s="9"/>
      <c r="T387" s="9"/>
    </row>
    <row r="388" spans="1:20" ht="47.25" x14ac:dyDescent="0.2">
      <c r="A388" s="112">
        <f>IF(G388&lt;&gt;"",1+MAX($A$2:A387),"")</f>
        <v>238</v>
      </c>
      <c r="B388" s="35" t="s">
        <v>322</v>
      </c>
      <c r="C388" s="192" t="s">
        <v>534</v>
      </c>
      <c r="D388" s="160" t="s">
        <v>615</v>
      </c>
      <c r="E388" s="202" t="s">
        <v>32</v>
      </c>
      <c r="F388" s="37">
        <v>6</v>
      </c>
      <c r="G388" s="36">
        <v>0</v>
      </c>
      <c r="H388" s="37">
        <f t="shared" ref="H388" si="345">(G388*F388)+F388</f>
        <v>6</v>
      </c>
      <c r="I388" s="133">
        <v>1.32</v>
      </c>
      <c r="J388" s="240">
        <v>72</v>
      </c>
      <c r="K388" s="195">
        <f t="shared" ref="K388" si="346">I388*J388</f>
        <v>95.04</v>
      </c>
      <c r="L388" s="195">
        <v>259.99</v>
      </c>
      <c r="M388" s="39">
        <f t="shared" ref="M388" si="347">+L388+K388</f>
        <v>355.03000000000003</v>
      </c>
      <c r="N388" s="40">
        <f t="shared" ref="N388" si="348">H388*M388</f>
        <v>2130.1800000000003</v>
      </c>
      <c r="O388" s="9"/>
      <c r="P388" s="318">
        <f t="shared" si="343"/>
        <v>570.24</v>
      </c>
      <c r="Q388" s="319">
        <f t="shared" si="344"/>
        <v>1559.94</v>
      </c>
      <c r="R388" s="9"/>
      <c r="S388" s="9"/>
      <c r="T388" s="9"/>
    </row>
    <row r="389" spans="1:20" ht="18" customHeight="1" x14ac:dyDescent="0.2">
      <c r="A389" s="112" t="str">
        <f>IF(G389&lt;&gt;"",1+MAX($A$2:A388),"")</f>
        <v/>
      </c>
      <c r="B389" s="35"/>
      <c r="C389" s="192"/>
      <c r="D389" s="226" t="s">
        <v>535</v>
      </c>
      <c r="E389" s="227"/>
      <c r="F389" s="37"/>
      <c r="G389" s="36"/>
      <c r="H389" s="37"/>
      <c r="I389" s="169"/>
      <c r="J389" s="243"/>
      <c r="K389" s="195"/>
      <c r="L389" s="38"/>
      <c r="M389" s="39"/>
      <c r="N389" s="41"/>
      <c r="O389" s="9"/>
      <c r="P389" s="318">
        <f t="shared" si="343"/>
        <v>0</v>
      </c>
      <c r="Q389" s="319">
        <f t="shared" si="344"/>
        <v>0</v>
      </c>
      <c r="R389" s="9"/>
      <c r="S389" s="9"/>
      <c r="T389" s="9"/>
    </row>
    <row r="390" spans="1:20" ht="46.9" customHeight="1" x14ac:dyDescent="0.2">
      <c r="A390" s="112">
        <f>IF(G390&lt;&gt;"",1+MAX($A$2:A389),"")</f>
        <v>239</v>
      </c>
      <c r="B390" s="217" t="s">
        <v>322</v>
      </c>
      <c r="C390" s="219" t="s">
        <v>506</v>
      </c>
      <c r="D390" s="27" t="s">
        <v>536</v>
      </c>
      <c r="E390" s="202" t="s">
        <v>32</v>
      </c>
      <c r="F390" s="37">
        <v>17</v>
      </c>
      <c r="G390" s="36">
        <v>0</v>
      </c>
      <c r="H390" s="37">
        <f t="shared" ref="H390" si="349">(G390*F390)+F390</f>
        <v>17</v>
      </c>
      <c r="I390" s="133">
        <v>0.45</v>
      </c>
      <c r="J390" s="240">
        <v>72</v>
      </c>
      <c r="K390" s="195">
        <f t="shared" ref="K390" si="350">I390*J390</f>
        <v>32.4</v>
      </c>
      <c r="L390" s="195">
        <v>145.99</v>
      </c>
      <c r="M390" s="39">
        <f t="shared" ref="M390" si="351">+L390+K390</f>
        <v>178.39000000000001</v>
      </c>
      <c r="N390" s="40">
        <f t="shared" ref="N390" si="352">H390*M390</f>
        <v>3032.63</v>
      </c>
      <c r="O390" s="9"/>
      <c r="P390" s="318">
        <f t="shared" si="343"/>
        <v>550.79999999999995</v>
      </c>
      <c r="Q390" s="319">
        <f t="shared" si="344"/>
        <v>2481.83</v>
      </c>
      <c r="R390" s="9"/>
      <c r="S390" s="9"/>
      <c r="T390" s="9"/>
    </row>
    <row r="391" spans="1:20" ht="18" customHeight="1" x14ac:dyDescent="0.25">
      <c r="A391" s="189" t="str">
        <f>IF(G391&lt;&gt;"",1+MAX($A$2:A390),"")</f>
        <v/>
      </c>
      <c r="B391" s="190"/>
      <c r="C391" s="190"/>
      <c r="D391" s="226" t="s">
        <v>487</v>
      </c>
      <c r="E391" s="227"/>
      <c r="F391" s="205"/>
      <c r="G391" s="65"/>
      <c r="H391" s="37"/>
      <c r="I391" s="170"/>
      <c r="J391" s="246"/>
      <c r="K391" s="206"/>
      <c r="L391" s="60"/>
      <c r="M391" s="39"/>
      <c r="N391" s="41"/>
      <c r="O391" s="9"/>
      <c r="P391" s="318">
        <f t="shared" si="343"/>
        <v>0</v>
      </c>
      <c r="Q391" s="319">
        <f t="shared" si="344"/>
        <v>0</v>
      </c>
      <c r="R391" s="9"/>
      <c r="S391" s="9"/>
      <c r="T391" s="9"/>
    </row>
    <row r="392" spans="1:20" ht="15.75" x14ac:dyDescent="0.2">
      <c r="A392" s="112" t="str">
        <f>IF(G392&lt;&gt;"",1+MAX($A$2:A391),"")</f>
        <v/>
      </c>
      <c r="B392" s="35"/>
      <c r="C392" s="192"/>
      <c r="D392" s="136" t="s">
        <v>537</v>
      </c>
      <c r="E392" s="198"/>
      <c r="F392" s="94"/>
      <c r="G392" s="36"/>
      <c r="H392" s="37"/>
      <c r="I392" s="169"/>
      <c r="J392" s="243"/>
      <c r="K392" s="195"/>
      <c r="L392" s="195"/>
      <c r="M392" s="39"/>
      <c r="N392" s="40"/>
      <c r="O392" s="9"/>
      <c r="P392" s="318">
        <f t="shared" si="343"/>
        <v>0</v>
      </c>
      <c r="Q392" s="319">
        <f t="shared" si="344"/>
        <v>0</v>
      </c>
      <c r="R392" s="9"/>
      <c r="S392" s="9"/>
      <c r="T392" s="9"/>
    </row>
    <row r="393" spans="1:20" ht="78.75" x14ac:dyDescent="0.2">
      <c r="A393" s="33">
        <f>IF(G393&lt;&gt;"",1+MAX($A$2:A392),"")</f>
        <v>240</v>
      </c>
      <c r="B393" s="383" t="s">
        <v>322</v>
      </c>
      <c r="C393" s="386" t="s">
        <v>538</v>
      </c>
      <c r="D393" s="160" t="s">
        <v>539</v>
      </c>
      <c r="E393" s="202" t="s">
        <v>32</v>
      </c>
      <c r="F393" s="37">
        <v>1</v>
      </c>
      <c r="G393" s="36">
        <v>0</v>
      </c>
      <c r="H393" s="37">
        <f t="shared" ref="H393:H401" si="353">(G393*F393)+F393</f>
        <v>1</v>
      </c>
      <c r="I393" s="133">
        <v>3.45</v>
      </c>
      <c r="J393" s="240">
        <v>72</v>
      </c>
      <c r="K393" s="195">
        <f t="shared" ref="K393:K401" si="354">I393*J393</f>
        <v>248.4</v>
      </c>
      <c r="L393" s="195">
        <v>3275</v>
      </c>
      <c r="M393" s="39">
        <f t="shared" ref="M393:M401" si="355">+L393+K393</f>
        <v>3523.4</v>
      </c>
      <c r="N393" s="40">
        <f t="shared" ref="N393:N401" si="356">H393*M393</f>
        <v>3523.4</v>
      </c>
      <c r="O393" s="9"/>
      <c r="P393" s="318">
        <f t="shared" si="343"/>
        <v>248.4</v>
      </c>
      <c r="Q393" s="319">
        <f t="shared" si="344"/>
        <v>3275</v>
      </c>
      <c r="R393" s="9"/>
      <c r="S393" s="9"/>
      <c r="T393" s="9"/>
    </row>
    <row r="394" spans="1:20" ht="78.75" x14ac:dyDescent="0.2">
      <c r="A394" s="33">
        <f>IF(G394&lt;&gt;"",1+MAX($A$2:A393),"")</f>
        <v>241</v>
      </c>
      <c r="B394" s="384"/>
      <c r="C394" s="387"/>
      <c r="D394" s="160" t="s">
        <v>540</v>
      </c>
      <c r="E394" s="202" t="s">
        <v>32</v>
      </c>
      <c r="F394" s="37">
        <v>1</v>
      </c>
      <c r="G394" s="36">
        <v>0</v>
      </c>
      <c r="H394" s="37">
        <f t="shared" si="353"/>
        <v>1</v>
      </c>
      <c r="I394" s="133">
        <v>3.45</v>
      </c>
      <c r="J394" s="240">
        <v>72</v>
      </c>
      <c r="K394" s="195">
        <f t="shared" si="354"/>
        <v>248.4</v>
      </c>
      <c r="L394" s="195">
        <v>3275</v>
      </c>
      <c r="M394" s="39">
        <f t="shared" si="355"/>
        <v>3523.4</v>
      </c>
      <c r="N394" s="40">
        <f t="shared" si="356"/>
        <v>3523.4</v>
      </c>
      <c r="O394" s="9"/>
      <c r="P394" s="318">
        <f t="shared" si="343"/>
        <v>248.4</v>
      </c>
      <c r="Q394" s="319">
        <f t="shared" si="344"/>
        <v>3275</v>
      </c>
      <c r="R394" s="9"/>
      <c r="S394" s="9"/>
      <c r="T394" s="9"/>
    </row>
    <row r="395" spans="1:20" ht="78.75" x14ac:dyDescent="0.2">
      <c r="A395" s="33">
        <f>IF(G395&lt;&gt;"",1+MAX($A$2:A394),"")</f>
        <v>242</v>
      </c>
      <c r="B395" s="384"/>
      <c r="C395" s="387"/>
      <c r="D395" s="160" t="s">
        <v>541</v>
      </c>
      <c r="E395" s="202" t="s">
        <v>32</v>
      </c>
      <c r="F395" s="37">
        <v>1</v>
      </c>
      <c r="G395" s="36">
        <v>0</v>
      </c>
      <c r="H395" s="37">
        <f t="shared" si="353"/>
        <v>1</v>
      </c>
      <c r="I395" s="133">
        <v>3.45</v>
      </c>
      <c r="J395" s="240">
        <v>72</v>
      </c>
      <c r="K395" s="195">
        <f t="shared" si="354"/>
        <v>248.4</v>
      </c>
      <c r="L395" s="195">
        <v>3275</v>
      </c>
      <c r="M395" s="39">
        <f t="shared" si="355"/>
        <v>3523.4</v>
      </c>
      <c r="N395" s="40">
        <f t="shared" si="356"/>
        <v>3523.4</v>
      </c>
      <c r="O395" s="9"/>
      <c r="P395" s="318">
        <f t="shared" si="343"/>
        <v>248.4</v>
      </c>
      <c r="Q395" s="319">
        <f t="shared" si="344"/>
        <v>3275</v>
      </c>
      <c r="R395" s="9"/>
      <c r="S395" s="9"/>
      <c r="T395" s="9"/>
    </row>
    <row r="396" spans="1:20" ht="78.75" x14ac:dyDescent="0.2">
      <c r="A396" s="33">
        <f>IF(G396&lt;&gt;"",1+MAX($A$2:A395),"")</f>
        <v>243</v>
      </c>
      <c r="B396" s="384"/>
      <c r="C396" s="387"/>
      <c r="D396" s="160" t="s">
        <v>542</v>
      </c>
      <c r="E396" s="202" t="s">
        <v>32</v>
      </c>
      <c r="F396" s="37">
        <v>1</v>
      </c>
      <c r="G396" s="36">
        <v>0</v>
      </c>
      <c r="H396" s="37">
        <f t="shared" si="353"/>
        <v>1</v>
      </c>
      <c r="I396" s="133">
        <v>3.45</v>
      </c>
      <c r="J396" s="240">
        <v>72</v>
      </c>
      <c r="K396" s="195">
        <f t="shared" si="354"/>
        <v>248.4</v>
      </c>
      <c r="L396" s="195">
        <v>3275</v>
      </c>
      <c r="M396" s="39">
        <f t="shared" si="355"/>
        <v>3523.4</v>
      </c>
      <c r="N396" s="40">
        <f t="shared" si="356"/>
        <v>3523.4</v>
      </c>
      <c r="O396" s="9"/>
      <c r="P396" s="318">
        <f t="shared" si="343"/>
        <v>248.4</v>
      </c>
      <c r="Q396" s="319">
        <f t="shared" si="344"/>
        <v>3275</v>
      </c>
      <c r="R396" s="9"/>
      <c r="S396" s="9"/>
      <c r="T396" s="9"/>
    </row>
    <row r="397" spans="1:20" ht="78.75" x14ac:dyDescent="0.2">
      <c r="A397" s="33">
        <f>IF(G397&lt;&gt;"",1+MAX($A$2:A396),"")</f>
        <v>244</v>
      </c>
      <c r="B397" s="385"/>
      <c r="C397" s="388"/>
      <c r="D397" s="160" t="s">
        <v>543</v>
      </c>
      <c r="E397" s="202" t="s">
        <v>32</v>
      </c>
      <c r="F397" s="37">
        <v>1</v>
      </c>
      <c r="G397" s="36">
        <v>0</v>
      </c>
      <c r="H397" s="37">
        <f t="shared" si="353"/>
        <v>1</v>
      </c>
      <c r="I397" s="133">
        <v>3.45</v>
      </c>
      <c r="J397" s="240">
        <v>72</v>
      </c>
      <c r="K397" s="195">
        <f t="shared" si="354"/>
        <v>248.4</v>
      </c>
      <c r="L397" s="195">
        <v>3275</v>
      </c>
      <c r="M397" s="39">
        <f t="shared" si="355"/>
        <v>3523.4</v>
      </c>
      <c r="N397" s="40">
        <f t="shared" si="356"/>
        <v>3523.4</v>
      </c>
      <c r="O397" s="9"/>
      <c r="P397" s="318">
        <f t="shared" si="343"/>
        <v>248.4</v>
      </c>
      <c r="Q397" s="319">
        <f t="shared" si="344"/>
        <v>3275</v>
      </c>
      <c r="R397" s="9"/>
      <c r="S397" s="9"/>
      <c r="T397" s="9"/>
    </row>
    <row r="398" spans="1:20" ht="15.75" x14ac:dyDescent="0.2">
      <c r="A398" s="112" t="str">
        <f>IF(G398&lt;&gt;"",1+MAX($A$2:A397),"")</f>
        <v/>
      </c>
      <c r="B398" s="35"/>
      <c r="C398" s="192"/>
      <c r="D398" s="136" t="s">
        <v>544</v>
      </c>
      <c r="E398" s="198"/>
      <c r="F398" s="94"/>
      <c r="G398" s="36"/>
      <c r="H398" s="37"/>
      <c r="I398" s="169"/>
      <c r="J398" s="243"/>
      <c r="K398" s="195"/>
      <c r="L398" s="195"/>
      <c r="M398" s="39"/>
      <c r="N398" s="40"/>
      <c r="O398" s="9"/>
      <c r="P398" s="318">
        <f t="shared" si="343"/>
        <v>0</v>
      </c>
      <c r="Q398" s="319">
        <f t="shared" si="344"/>
        <v>0</v>
      </c>
      <c r="R398" s="9"/>
      <c r="S398" s="9"/>
      <c r="T398" s="9"/>
    </row>
    <row r="399" spans="1:20" ht="18" customHeight="1" x14ac:dyDescent="0.2">
      <c r="A399" s="33">
        <f>IF(G399&lt;&gt;"",1+MAX($A$2:A398),"")</f>
        <v>245</v>
      </c>
      <c r="B399" s="383" t="s">
        <v>322</v>
      </c>
      <c r="C399" s="95"/>
      <c r="D399" s="160" t="s">
        <v>545</v>
      </c>
      <c r="E399" s="202" t="s">
        <v>32</v>
      </c>
      <c r="F399" s="37">
        <v>5</v>
      </c>
      <c r="G399" s="36">
        <v>0</v>
      </c>
      <c r="H399" s="37">
        <f t="shared" si="353"/>
        <v>5</v>
      </c>
      <c r="I399" s="133">
        <v>0.25</v>
      </c>
      <c r="J399" s="240">
        <v>72</v>
      </c>
      <c r="K399" s="195">
        <f t="shared" si="354"/>
        <v>18</v>
      </c>
      <c r="L399" s="195">
        <v>11.71</v>
      </c>
      <c r="M399" s="39">
        <f t="shared" si="355"/>
        <v>29.71</v>
      </c>
      <c r="N399" s="40">
        <f t="shared" si="356"/>
        <v>148.55000000000001</v>
      </c>
      <c r="O399" s="9"/>
      <c r="P399" s="318">
        <f t="shared" si="343"/>
        <v>90</v>
      </c>
      <c r="Q399" s="319">
        <f t="shared" si="344"/>
        <v>58.550000000000004</v>
      </c>
      <c r="R399" s="9"/>
      <c r="S399" s="9"/>
      <c r="T399" s="9"/>
    </row>
    <row r="400" spans="1:20" ht="15.75" x14ac:dyDescent="0.2">
      <c r="A400" s="112" t="str">
        <f>IF(G400&lt;&gt;"",1+MAX($A$2:A399),"")</f>
        <v/>
      </c>
      <c r="B400" s="384"/>
      <c r="C400" s="192"/>
      <c r="D400" s="136" t="s">
        <v>546</v>
      </c>
      <c r="E400" s="198"/>
      <c r="F400" s="94"/>
      <c r="G400" s="36"/>
      <c r="H400" s="37"/>
      <c r="I400" s="169"/>
      <c r="J400" s="243"/>
      <c r="K400" s="195"/>
      <c r="L400" s="195"/>
      <c r="M400" s="39"/>
      <c r="N400" s="40"/>
      <c r="O400" s="9"/>
      <c r="P400" s="318">
        <f t="shared" si="343"/>
        <v>0</v>
      </c>
      <c r="Q400" s="319">
        <f t="shared" si="344"/>
        <v>0</v>
      </c>
      <c r="R400" s="9"/>
      <c r="S400" s="9"/>
      <c r="T400" s="9"/>
    </row>
    <row r="401" spans="1:20" ht="18" customHeight="1" x14ac:dyDescent="0.2">
      <c r="A401" s="33">
        <f>IF(G401&lt;&gt;"",1+MAX($A$2:A400),"")</f>
        <v>246</v>
      </c>
      <c r="B401" s="384"/>
      <c r="C401" s="95"/>
      <c r="D401" s="160" t="s">
        <v>547</v>
      </c>
      <c r="E401" s="202" t="s">
        <v>32</v>
      </c>
      <c r="F401" s="37">
        <v>5</v>
      </c>
      <c r="G401" s="36">
        <v>0</v>
      </c>
      <c r="H401" s="37">
        <f t="shared" si="353"/>
        <v>5</v>
      </c>
      <c r="I401" s="133">
        <v>0.42</v>
      </c>
      <c r="J401" s="240">
        <v>72</v>
      </c>
      <c r="K401" s="195">
        <f t="shared" si="354"/>
        <v>30.24</v>
      </c>
      <c r="L401" s="195">
        <v>15.82</v>
      </c>
      <c r="M401" s="39">
        <f t="shared" si="355"/>
        <v>46.06</v>
      </c>
      <c r="N401" s="40">
        <f t="shared" si="356"/>
        <v>230.3</v>
      </c>
      <c r="O401" s="9"/>
      <c r="P401" s="318">
        <f t="shared" si="343"/>
        <v>151.19999999999999</v>
      </c>
      <c r="Q401" s="319">
        <f t="shared" si="344"/>
        <v>79.099999999999994</v>
      </c>
      <c r="R401" s="9"/>
      <c r="S401" s="9"/>
      <c r="T401" s="9"/>
    </row>
    <row r="402" spans="1:20" ht="15.75" x14ac:dyDescent="0.2">
      <c r="A402" s="112" t="str">
        <f>IF(G402&lt;&gt;"",1+MAX($A$2:A401),"")</f>
        <v/>
      </c>
      <c r="B402" s="384"/>
      <c r="C402" s="192"/>
      <c r="D402" s="136" t="s">
        <v>548</v>
      </c>
      <c r="E402" s="198"/>
      <c r="F402" s="94"/>
      <c r="G402" s="36"/>
      <c r="H402" s="37"/>
      <c r="I402" s="169"/>
      <c r="J402" s="243"/>
      <c r="K402" s="195"/>
      <c r="L402" s="195"/>
      <c r="M402" s="39"/>
      <c r="N402" s="40"/>
      <c r="O402" s="9"/>
      <c r="P402" s="318">
        <f t="shared" si="343"/>
        <v>0</v>
      </c>
      <c r="Q402" s="319">
        <f t="shared" si="344"/>
        <v>0</v>
      </c>
      <c r="R402" s="9"/>
      <c r="S402" s="9"/>
      <c r="T402" s="9"/>
    </row>
    <row r="403" spans="1:20" ht="15.75" x14ac:dyDescent="0.2">
      <c r="A403" s="33">
        <f>IF(G403&lt;&gt;"",1+MAX($A$2:A402),"")</f>
        <v>247</v>
      </c>
      <c r="B403" s="385"/>
      <c r="C403" s="34" t="s">
        <v>496</v>
      </c>
      <c r="D403" s="27" t="s">
        <v>549</v>
      </c>
      <c r="E403" s="202" t="s">
        <v>32</v>
      </c>
      <c r="F403" s="37">
        <v>7</v>
      </c>
      <c r="G403" s="36">
        <v>0</v>
      </c>
      <c r="H403" s="37">
        <f t="shared" ref="H403" si="357">(G403*F403)+F403</f>
        <v>7</v>
      </c>
      <c r="I403" s="133">
        <v>0.32</v>
      </c>
      <c r="J403" s="240">
        <v>72</v>
      </c>
      <c r="K403" s="195">
        <f t="shared" ref="K403" si="358">I403*J403</f>
        <v>23.04</v>
      </c>
      <c r="L403" s="195">
        <v>130</v>
      </c>
      <c r="M403" s="39">
        <f t="shared" ref="M403" si="359">+L403+K403</f>
        <v>153.04</v>
      </c>
      <c r="N403" s="40">
        <f t="shared" ref="N403" si="360">H403*M403</f>
        <v>1071.28</v>
      </c>
      <c r="O403" s="9"/>
      <c r="P403" s="318">
        <f t="shared" si="343"/>
        <v>161.28</v>
      </c>
      <c r="Q403" s="319">
        <f t="shared" si="344"/>
        <v>910</v>
      </c>
      <c r="R403" s="9"/>
      <c r="S403" s="9"/>
      <c r="T403" s="9"/>
    </row>
    <row r="404" spans="1:20" ht="18" customHeight="1" x14ac:dyDescent="0.2">
      <c r="A404" s="42" t="str">
        <f>IF(G404&lt;&gt;"",1+MAX($A$2:A403),"")</f>
        <v/>
      </c>
      <c r="B404" s="43"/>
      <c r="C404" s="43"/>
      <c r="D404" s="43"/>
      <c r="E404" s="43"/>
      <c r="F404" s="43"/>
      <c r="G404" s="43"/>
      <c r="H404" s="43"/>
      <c r="I404" s="256"/>
      <c r="J404" s="241"/>
      <c r="K404" s="44"/>
      <c r="L404" s="44"/>
      <c r="M404" s="45" t="s">
        <v>22</v>
      </c>
      <c r="N404" s="46">
        <f>SUM(N333:N403)</f>
        <v>217957.62591999993</v>
      </c>
      <c r="O404" s="9"/>
      <c r="P404" s="318">
        <f t="shared" si="343"/>
        <v>0</v>
      </c>
      <c r="Q404" s="319">
        <f t="shared" si="344"/>
        <v>0</v>
      </c>
      <c r="R404" s="9"/>
    </row>
    <row r="405" spans="1:20" ht="18" customHeight="1" x14ac:dyDescent="0.2">
      <c r="A405" s="72" t="str">
        <f>IF(G405&lt;&gt;"",1+MAX($A$2:A404),"")</f>
        <v/>
      </c>
      <c r="B405" s="73"/>
      <c r="C405" s="73"/>
      <c r="D405" s="73"/>
      <c r="E405" s="74"/>
      <c r="F405" s="285"/>
      <c r="G405" s="75"/>
      <c r="H405" s="285"/>
      <c r="I405" s="286"/>
      <c r="J405" s="287"/>
      <c r="K405" s="76"/>
      <c r="L405" s="76"/>
      <c r="M405" s="288"/>
      <c r="N405" s="77"/>
      <c r="O405" s="9"/>
      <c r="P405" s="318">
        <f t="shared" si="343"/>
        <v>0</v>
      </c>
      <c r="Q405" s="319">
        <f t="shared" si="344"/>
        <v>0</v>
      </c>
      <c r="R405" s="9"/>
    </row>
    <row r="406" spans="1:20" ht="18.75" x14ac:dyDescent="0.2">
      <c r="A406" s="50" t="str">
        <f>IF(G406&lt;&gt;"",1+MAX($A$2:A405),"")</f>
        <v/>
      </c>
      <c r="B406" s="51"/>
      <c r="C406" s="51"/>
      <c r="D406" s="52"/>
      <c r="E406" s="53" t="s">
        <v>550</v>
      </c>
      <c r="F406" s="54"/>
      <c r="G406" s="54"/>
      <c r="H406" s="54"/>
      <c r="I406" s="167"/>
      <c r="J406" s="239"/>
      <c r="K406" s="54"/>
      <c r="L406" s="54"/>
      <c r="M406" s="55"/>
      <c r="N406" s="56"/>
      <c r="O406" s="9"/>
      <c r="P406" s="318">
        <f t="shared" si="343"/>
        <v>0</v>
      </c>
      <c r="Q406" s="319">
        <f t="shared" si="344"/>
        <v>0</v>
      </c>
      <c r="R406" s="9"/>
      <c r="S406" s="9"/>
      <c r="T406" s="9"/>
    </row>
    <row r="407" spans="1:20" ht="18" customHeight="1" x14ac:dyDescent="0.2">
      <c r="A407" s="33" t="str">
        <f>IF(G407&lt;&gt;"",1+MAX($A$2:A406),"")</f>
        <v/>
      </c>
      <c r="B407" s="34"/>
      <c r="C407" s="208"/>
      <c r="D407" s="226" t="s">
        <v>551</v>
      </c>
      <c r="E407" s="135"/>
      <c r="F407" s="94"/>
      <c r="G407" s="209" t="str">
        <f t="shared" ref="G407" si="361">IF(F407=0,"",0)</f>
        <v/>
      </c>
      <c r="H407" s="210" t="str">
        <f>IF(F407=0,"",F407*(1+G407))</f>
        <v/>
      </c>
      <c r="I407" s="257"/>
      <c r="J407" s="250"/>
      <c r="K407" s="195"/>
      <c r="L407" s="195"/>
      <c r="M407" s="39"/>
      <c r="N407" s="40"/>
      <c r="O407" s="9"/>
      <c r="P407" s="318"/>
      <c r="Q407" s="319"/>
      <c r="R407" s="9"/>
      <c r="S407" s="9"/>
      <c r="T407" s="9"/>
    </row>
    <row r="408" spans="1:20" ht="18" customHeight="1" x14ac:dyDescent="0.2">
      <c r="A408" s="33" t="str">
        <f>IF(G408&lt;&gt;"",1+MAX($A$2:A407),"")</f>
        <v/>
      </c>
      <c r="B408" s="34"/>
      <c r="C408" s="34"/>
      <c r="D408" s="136" t="s">
        <v>552</v>
      </c>
      <c r="E408" s="211"/>
      <c r="F408" s="37"/>
      <c r="G408" s="209"/>
      <c r="H408" s="37"/>
      <c r="I408" s="66"/>
      <c r="J408" s="242"/>
      <c r="K408" s="195"/>
      <c r="L408" s="195"/>
      <c r="M408" s="39"/>
      <c r="N408" s="40"/>
      <c r="O408" s="9"/>
      <c r="P408" s="318">
        <f t="shared" si="343"/>
        <v>0</v>
      </c>
      <c r="Q408" s="319">
        <f t="shared" si="344"/>
        <v>0</v>
      </c>
      <c r="R408" s="9"/>
      <c r="S408" s="9"/>
      <c r="T408" s="9"/>
    </row>
    <row r="409" spans="1:20" ht="18" customHeight="1" x14ac:dyDescent="0.2">
      <c r="A409" s="33">
        <f>IF(G409&lt;&gt;"",1+MAX($A$2:A408),"")</f>
        <v>248</v>
      </c>
      <c r="B409" s="34" t="s">
        <v>553</v>
      </c>
      <c r="C409" s="34"/>
      <c r="D409" s="27" t="s">
        <v>554</v>
      </c>
      <c r="E409" s="35" t="s">
        <v>4</v>
      </c>
      <c r="F409" s="202">
        <v>1</v>
      </c>
      <c r="G409" s="36">
        <v>0.05</v>
      </c>
      <c r="H409" s="37">
        <f>(G409*F409)+F409</f>
        <v>1.05</v>
      </c>
      <c r="I409" s="133">
        <v>0</v>
      </c>
      <c r="J409" s="240">
        <v>0</v>
      </c>
      <c r="K409" s="195">
        <f>I409*J409</f>
        <v>0</v>
      </c>
      <c r="L409" s="195">
        <v>0</v>
      </c>
      <c r="M409" s="39">
        <f>7100*3.25</f>
        <v>23075</v>
      </c>
      <c r="N409" s="40">
        <f>H409*M409</f>
        <v>24228.75</v>
      </c>
      <c r="O409" s="9"/>
      <c r="P409" s="318">
        <f t="shared" si="343"/>
        <v>0</v>
      </c>
      <c r="Q409" s="319">
        <f t="shared" si="344"/>
        <v>0</v>
      </c>
      <c r="R409" s="9"/>
      <c r="S409" s="9"/>
      <c r="T409" s="9"/>
    </row>
    <row r="410" spans="1:20" ht="18.75" customHeight="1" x14ac:dyDescent="0.2">
      <c r="A410" s="33" t="str">
        <f>IF(G410&lt;&gt;"",1+MAX($A$2:A409),"")</f>
        <v/>
      </c>
      <c r="B410" s="34"/>
      <c r="C410" s="34"/>
      <c r="D410" s="136" t="s">
        <v>555</v>
      </c>
      <c r="E410" s="198"/>
      <c r="F410" s="37"/>
      <c r="G410" s="209"/>
      <c r="H410" s="37"/>
      <c r="I410" s="169"/>
      <c r="J410" s="243"/>
      <c r="K410" s="195"/>
      <c r="L410" s="195"/>
      <c r="M410" s="39"/>
      <c r="N410" s="40"/>
      <c r="O410" s="9"/>
      <c r="P410" s="318">
        <f t="shared" si="343"/>
        <v>0</v>
      </c>
      <c r="Q410" s="319">
        <f t="shared" si="344"/>
        <v>0</v>
      </c>
      <c r="R410" s="9"/>
      <c r="S410" s="9"/>
      <c r="T410" s="9"/>
    </row>
    <row r="411" spans="1:20" ht="78.75" x14ac:dyDescent="0.2">
      <c r="A411" s="33">
        <f>IF(G411&lt;&gt;"",1+MAX($A$2:A410),"")</f>
        <v>249</v>
      </c>
      <c r="B411" s="383" t="s">
        <v>556</v>
      </c>
      <c r="C411" s="386" t="s">
        <v>557</v>
      </c>
      <c r="D411" s="160" t="s">
        <v>558</v>
      </c>
      <c r="E411" s="202" t="s">
        <v>32</v>
      </c>
      <c r="F411" s="37">
        <v>1</v>
      </c>
      <c r="G411" s="36">
        <v>0</v>
      </c>
      <c r="H411" s="37">
        <f t="shared" ref="H411:H414" si="362">(G411*F411)+F411</f>
        <v>1</v>
      </c>
      <c r="I411" s="133">
        <v>6.1539999999999999</v>
      </c>
      <c r="J411" s="240">
        <v>78</v>
      </c>
      <c r="K411" s="195">
        <f t="shared" ref="K411:K414" si="363">I411*J411</f>
        <v>480.012</v>
      </c>
      <c r="L411" s="195">
        <v>2027</v>
      </c>
      <c r="M411" s="39">
        <f t="shared" ref="M411:M414" si="364">+L411+K411</f>
        <v>2507.0120000000002</v>
      </c>
      <c r="N411" s="40">
        <f t="shared" ref="N411:N414" si="365">H411*M411</f>
        <v>2507.0120000000002</v>
      </c>
      <c r="O411" s="9"/>
      <c r="P411" s="318">
        <f t="shared" si="343"/>
        <v>480.012</v>
      </c>
      <c r="Q411" s="319">
        <f t="shared" si="344"/>
        <v>2027</v>
      </c>
      <c r="R411" s="9"/>
      <c r="S411" s="9"/>
      <c r="T411" s="9"/>
    </row>
    <row r="412" spans="1:20" ht="78.75" x14ac:dyDescent="0.2">
      <c r="A412" s="33">
        <f>IF(G412&lt;&gt;"",1+MAX($A$2:A411),"")</f>
        <v>250</v>
      </c>
      <c r="B412" s="384"/>
      <c r="C412" s="387"/>
      <c r="D412" s="160" t="s">
        <v>559</v>
      </c>
      <c r="E412" s="202" t="s">
        <v>32</v>
      </c>
      <c r="F412" s="37">
        <v>1</v>
      </c>
      <c r="G412" s="36">
        <v>0</v>
      </c>
      <c r="H412" s="37">
        <f t="shared" si="362"/>
        <v>1</v>
      </c>
      <c r="I412" s="133">
        <v>8.33</v>
      </c>
      <c r="J412" s="240">
        <v>78</v>
      </c>
      <c r="K412" s="195">
        <f t="shared" si="363"/>
        <v>649.74</v>
      </c>
      <c r="L412" s="195">
        <v>4140</v>
      </c>
      <c r="M412" s="39">
        <f t="shared" si="364"/>
        <v>4789.74</v>
      </c>
      <c r="N412" s="40">
        <f t="shared" si="365"/>
        <v>4789.74</v>
      </c>
      <c r="O412" s="9"/>
      <c r="P412" s="318">
        <f t="shared" si="343"/>
        <v>649.74</v>
      </c>
      <c r="Q412" s="319">
        <f t="shared" si="344"/>
        <v>4140</v>
      </c>
      <c r="R412" s="9"/>
      <c r="S412" s="9"/>
      <c r="T412" s="9"/>
    </row>
    <row r="413" spans="1:20" ht="110.25" x14ac:dyDescent="0.2">
      <c r="A413" s="33">
        <f>IF(G413&lt;&gt;"",1+MAX($A$2:A412),"")</f>
        <v>251</v>
      </c>
      <c r="B413" s="384"/>
      <c r="C413" s="387"/>
      <c r="D413" s="160" t="s">
        <v>560</v>
      </c>
      <c r="E413" s="202" t="s">
        <v>32</v>
      </c>
      <c r="F413" s="37">
        <v>1</v>
      </c>
      <c r="G413" s="36">
        <v>0</v>
      </c>
      <c r="H413" s="37">
        <f t="shared" si="362"/>
        <v>1</v>
      </c>
      <c r="I413" s="133">
        <v>3.07</v>
      </c>
      <c r="J413" s="240">
        <v>78</v>
      </c>
      <c r="K413" s="195">
        <f t="shared" si="363"/>
        <v>239.45999999999998</v>
      </c>
      <c r="L413" s="195">
        <v>1040</v>
      </c>
      <c r="M413" s="39">
        <f t="shared" si="364"/>
        <v>1279.46</v>
      </c>
      <c r="N413" s="40">
        <f t="shared" si="365"/>
        <v>1279.46</v>
      </c>
      <c r="O413" s="9"/>
      <c r="P413" s="318">
        <f t="shared" si="343"/>
        <v>239.45999999999998</v>
      </c>
      <c r="Q413" s="319">
        <f t="shared" si="344"/>
        <v>1040</v>
      </c>
      <c r="R413" s="9"/>
      <c r="S413" s="9"/>
      <c r="T413" s="9"/>
    </row>
    <row r="414" spans="1:20" ht="78.75" x14ac:dyDescent="0.2">
      <c r="A414" s="33">
        <f>IF(G414&lt;&gt;"",1+MAX($A$2:A413),"")</f>
        <v>252</v>
      </c>
      <c r="B414" s="385"/>
      <c r="C414" s="388"/>
      <c r="D414" s="160" t="s">
        <v>561</v>
      </c>
      <c r="E414" s="202" t="s">
        <v>32</v>
      </c>
      <c r="F414" s="37">
        <v>1</v>
      </c>
      <c r="G414" s="36">
        <v>0</v>
      </c>
      <c r="H414" s="37">
        <f t="shared" si="362"/>
        <v>1</v>
      </c>
      <c r="I414" s="133">
        <v>3.07</v>
      </c>
      <c r="J414" s="240">
        <v>78</v>
      </c>
      <c r="K414" s="195">
        <f t="shared" si="363"/>
        <v>239.45999999999998</v>
      </c>
      <c r="L414" s="195">
        <v>1040</v>
      </c>
      <c r="M414" s="39">
        <f t="shared" si="364"/>
        <v>1279.46</v>
      </c>
      <c r="N414" s="40">
        <f t="shared" si="365"/>
        <v>1279.46</v>
      </c>
      <c r="O414" s="9"/>
      <c r="P414" s="318">
        <f t="shared" si="343"/>
        <v>239.45999999999998</v>
      </c>
      <c r="Q414" s="319">
        <f t="shared" si="344"/>
        <v>1040</v>
      </c>
      <c r="R414" s="9"/>
      <c r="S414" s="9"/>
      <c r="T414" s="9"/>
    </row>
    <row r="415" spans="1:20" ht="18" customHeight="1" x14ac:dyDescent="0.2">
      <c r="A415" s="33" t="str">
        <f>IF(G415&lt;&gt;"",1+MAX($A$2:A414),"")</f>
        <v/>
      </c>
      <c r="B415" s="34"/>
      <c r="C415" s="34"/>
      <c r="D415" s="136" t="s">
        <v>562</v>
      </c>
      <c r="E415" s="202"/>
      <c r="F415" s="37"/>
      <c r="G415" s="209"/>
      <c r="H415" s="37"/>
      <c r="I415" s="169"/>
      <c r="J415" s="243"/>
      <c r="K415" s="195"/>
      <c r="L415" s="195"/>
      <c r="M415" s="39"/>
      <c r="N415" s="40"/>
      <c r="O415" s="9"/>
      <c r="P415" s="318">
        <f t="shared" si="343"/>
        <v>0</v>
      </c>
      <c r="Q415" s="319">
        <f t="shared" si="344"/>
        <v>0</v>
      </c>
      <c r="R415" s="9"/>
      <c r="S415" s="9"/>
      <c r="T415" s="9"/>
    </row>
    <row r="416" spans="1:20" ht="15.75" x14ac:dyDescent="0.2">
      <c r="A416" s="33">
        <f>IF(G416&lt;&gt;"",1+MAX($A$2:A415),"")</f>
        <v>253</v>
      </c>
      <c r="B416" s="34" t="s">
        <v>553</v>
      </c>
      <c r="C416" s="212" t="s">
        <v>563</v>
      </c>
      <c r="D416" s="27" t="s">
        <v>564</v>
      </c>
      <c r="E416" s="202" t="s">
        <v>32</v>
      </c>
      <c r="F416" s="37">
        <v>13</v>
      </c>
      <c r="G416" s="36">
        <v>0</v>
      </c>
      <c r="H416" s="37">
        <f t="shared" ref="H416" si="366">(G416*F416)+F416</f>
        <v>13</v>
      </c>
      <c r="I416" s="133">
        <v>1.23</v>
      </c>
      <c r="J416" s="240">
        <v>78</v>
      </c>
      <c r="K416" s="195">
        <f t="shared" ref="K416" si="367">I416*J416</f>
        <v>95.94</v>
      </c>
      <c r="L416" s="195">
        <v>1093</v>
      </c>
      <c r="M416" s="39">
        <f t="shared" ref="M416" si="368">+L416+K416</f>
        <v>1188.94</v>
      </c>
      <c r="N416" s="40">
        <f t="shared" ref="N416" si="369">H416*M416</f>
        <v>15456.220000000001</v>
      </c>
      <c r="O416" s="9"/>
      <c r="P416" s="318">
        <f t="shared" si="343"/>
        <v>1247.22</v>
      </c>
      <c r="Q416" s="319">
        <f t="shared" si="344"/>
        <v>14209</v>
      </c>
      <c r="R416" s="9"/>
      <c r="S416" s="9"/>
      <c r="T416" s="9"/>
    </row>
    <row r="417" spans="1:20" ht="18" customHeight="1" x14ac:dyDescent="0.2">
      <c r="A417" s="33" t="str">
        <f>IF(G417&lt;&gt;"",1+MAX($A$2:A416),"")</f>
        <v/>
      </c>
      <c r="B417" s="34"/>
      <c r="C417" s="34"/>
      <c r="D417" s="136" t="s">
        <v>565</v>
      </c>
      <c r="E417" s="198"/>
      <c r="F417" s="37"/>
      <c r="G417" s="209"/>
      <c r="H417" s="37"/>
      <c r="I417" s="169"/>
      <c r="J417" s="243"/>
      <c r="K417" s="195"/>
      <c r="L417" s="195"/>
      <c r="M417" s="39"/>
      <c r="N417" s="40"/>
      <c r="O417" s="9"/>
      <c r="P417" s="318">
        <f t="shared" si="343"/>
        <v>0</v>
      </c>
      <c r="Q417" s="319">
        <f t="shared" si="344"/>
        <v>0</v>
      </c>
      <c r="R417" s="9"/>
      <c r="S417" s="9"/>
      <c r="T417" s="9"/>
    </row>
    <row r="418" spans="1:20" s="1" customFormat="1" ht="18" customHeight="1" x14ac:dyDescent="0.2">
      <c r="A418" s="57" t="str">
        <f>IF(G418&lt;&gt;"",1+MAX($A$2:A417),"")</f>
        <v/>
      </c>
      <c r="B418" s="213"/>
      <c r="C418" s="214"/>
      <c r="D418" s="226" t="s">
        <v>566</v>
      </c>
      <c r="E418" s="227"/>
      <c r="F418" s="94"/>
      <c r="G418" s="215"/>
      <c r="H418" s="37"/>
      <c r="I418" s="170"/>
      <c r="J418" s="246"/>
      <c r="K418" s="206"/>
      <c r="L418" s="206"/>
      <c r="M418" s="39"/>
      <c r="N418" s="40"/>
      <c r="O418" s="9"/>
      <c r="P418" s="318">
        <f t="shared" si="343"/>
        <v>0</v>
      </c>
      <c r="Q418" s="319">
        <f t="shared" si="344"/>
        <v>0</v>
      </c>
      <c r="R418" s="9"/>
      <c r="S418" s="9"/>
      <c r="T418" s="9"/>
    </row>
    <row r="419" spans="1:20" ht="18" customHeight="1" x14ac:dyDescent="0.2">
      <c r="A419" s="33" t="str">
        <f>IF(G419&lt;&gt;"",1+MAX($A$2:A418),"")</f>
        <v/>
      </c>
      <c r="B419" s="34"/>
      <c r="C419" s="34"/>
      <c r="D419" s="136" t="s">
        <v>567</v>
      </c>
      <c r="E419" s="198"/>
      <c r="F419" s="37"/>
      <c r="G419" s="209"/>
      <c r="H419" s="37"/>
      <c r="I419" s="169"/>
      <c r="J419" s="243"/>
      <c r="K419" s="195"/>
      <c r="L419" s="195"/>
      <c r="M419" s="39"/>
      <c r="N419" s="40"/>
      <c r="O419" s="9"/>
      <c r="P419" s="318">
        <f t="shared" si="343"/>
        <v>0</v>
      </c>
      <c r="Q419" s="319">
        <f t="shared" si="344"/>
        <v>0</v>
      </c>
      <c r="R419" s="9"/>
      <c r="S419" s="9"/>
      <c r="T419" s="9"/>
    </row>
    <row r="420" spans="1:20" ht="15.75" x14ac:dyDescent="0.2">
      <c r="A420" s="33">
        <f>IF(G420&lt;&gt;"",1+MAX($A$2:A419),"")</f>
        <v>254</v>
      </c>
      <c r="B420" s="383" t="s">
        <v>553</v>
      </c>
      <c r="C420" s="383" t="s">
        <v>568</v>
      </c>
      <c r="D420" s="27" t="s">
        <v>569</v>
      </c>
      <c r="E420" s="202" t="s">
        <v>32</v>
      </c>
      <c r="F420" s="37">
        <f>4+3+5+7+7+5+4+6+4+4+5+4+4+1+6+5+5+1+1+1</f>
        <v>82</v>
      </c>
      <c r="G420" s="209">
        <v>0</v>
      </c>
      <c r="H420" s="37">
        <f t="shared" ref="H420:H426" si="370">(G420*F420)+F420</f>
        <v>82</v>
      </c>
      <c r="I420" s="133">
        <v>0.245</v>
      </c>
      <c r="J420" s="240">
        <v>78</v>
      </c>
      <c r="K420" s="195">
        <f t="shared" ref="K420:K426" si="371">I420*J420</f>
        <v>19.11</v>
      </c>
      <c r="L420" s="195">
        <v>17.559999999999999</v>
      </c>
      <c r="M420" s="39">
        <f t="shared" ref="M420:M426" si="372">+L420+K420</f>
        <v>36.67</v>
      </c>
      <c r="N420" s="40">
        <f t="shared" ref="N420:N426" si="373">H420*M420</f>
        <v>3006.94</v>
      </c>
      <c r="O420" s="9"/>
      <c r="P420" s="318">
        <f t="shared" si="343"/>
        <v>1567.02</v>
      </c>
      <c r="Q420" s="319">
        <f t="shared" si="344"/>
        <v>1439.9199999999998</v>
      </c>
      <c r="R420" s="9"/>
      <c r="S420" s="9"/>
      <c r="T420" s="9"/>
    </row>
    <row r="421" spans="1:20" ht="15.75" x14ac:dyDescent="0.2">
      <c r="A421" s="33">
        <f>IF(G421&lt;&gt;"",1+MAX($A$2:A420),"")</f>
        <v>255</v>
      </c>
      <c r="B421" s="384"/>
      <c r="C421" s="384"/>
      <c r="D421" s="27" t="s">
        <v>570</v>
      </c>
      <c r="E421" s="202" t="s">
        <v>32</v>
      </c>
      <c r="F421" s="37">
        <f>2+1+4+1+1+2+1+2</f>
        <v>14</v>
      </c>
      <c r="G421" s="209">
        <v>0</v>
      </c>
      <c r="H421" s="37">
        <f t="shared" si="370"/>
        <v>14</v>
      </c>
      <c r="I421" s="133">
        <v>0.25</v>
      </c>
      <c r="J421" s="240">
        <v>78</v>
      </c>
      <c r="K421" s="195">
        <f t="shared" si="371"/>
        <v>19.5</v>
      </c>
      <c r="L421" s="195">
        <v>22.2</v>
      </c>
      <c r="M421" s="39">
        <f t="shared" si="372"/>
        <v>41.7</v>
      </c>
      <c r="N421" s="40">
        <f t="shared" si="373"/>
        <v>583.80000000000007</v>
      </c>
      <c r="O421" s="9"/>
      <c r="P421" s="318">
        <f t="shared" si="343"/>
        <v>273</v>
      </c>
      <c r="Q421" s="319">
        <f t="shared" si="344"/>
        <v>310.8</v>
      </c>
      <c r="R421" s="9"/>
      <c r="S421" s="9"/>
      <c r="T421" s="9"/>
    </row>
    <row r="422" spans="1:20" ht="15.75" x14ac:dyDescent="0.2">
      <c r="A422" s="33">
        <f>IF(G422&lt;&gt;"",1+MAX($A$2:A421),"")</f>
        <v>256</v>
      </c>
      <c r="B422" s="384"/>
      <c r="C422" s="384"/>
      <c r="D422" s="27" t="s">
        <v>571</v>
      </c>
      <c r="E422" s="202" t="s">
        <v>32</v>
      </c>
      <c r="F422" s="37">
        <f>2+2+1+2+5+5+2+1</f>
        <v>20</v>
      </c>
      <c r="G422" s="209">
        <v>0</v>
      </c>
      <c r="H422" s="37">
        <f t="shared" si="370"/>
        <v>20</v>
      </c>
      <c r="I422" s="133">
        <v>0.25</v>
      </c>
      <c r="J422" s="240">
        <v>78</v>
      </c>
      <c r="K422" s="195">
        <f t="shared" si="371"/>
        <v>19.5</v>
      </c>
      <c r="L422" s="195">
        <v>28.25</v>
      </c>
      <c r="M422" s="39">
        <f t="shared" si="372"/>
        <v>47.75</v>
      </c>
      <c r="N422" s="40">
        <f t="shared" si="373"/>
        <v>955</v>
      </c>
      <c r="O422" s="9"/>
      <c r="P422" s="318">
        <f t="shared" si="343"/>
        <v>390</v>
      </c>
      <c r="Q422" s="319">
        <f t="shared" si="344"/>
        <v>565</v>
      </c>
      <c r="R422" s="9"/>
      <c r="S422" s="9"/>
      <c r="T422" s="9"/>
    </row>
    <row r="423" spans="1:20" ht="15.75" x14ac:dyDescent="0.2">
      <c r="A423" s="33">
        <f>IF(G423&lt;&gt;"",1+MAX($A$2:A422),"")</f>
        <v>257</v>
      </c>
      <c r="B423" s="384"/>
      <c r="C423" s="384"/>
      <c r="D423" s="27" t="s">
        <v>572</v>
      </c>
      <c r="E423" s="202" t="s">
        <v>32</v>
      </c>
      <c r="F423" s="37">
        <v>2</v>
      </c>
      <c r="G423" s="209">
        <v>0</v>
      </c>
      <c r="H423" s="37">
        <f t="shared" si="370"/>
        <v>2</v>
      </c>
      <c r="I423" s="133">
        <v>0.25</v>
      </c>
      <c r="J423" s="240">
        <v>78</v>
      </c>
      <c r="K423" s="195">
        <f t="shared" si="371"/>
        <v>19.5</v>
      </c>
      <c r="L423" s="195">
        <v>40.53</v>
      </c>
      <c r="M423" s="39">
        <f t="shared" si="372"/>
        <v>60.03</v>
      </c>
      <c r="N423" s="40">
        <f t="shared" si="373"/>
        <v>120.06</v>
      </c>
      <c r="O423" s="9"/>
      <c r="P423" s="318">
        <f t="shared" si="343"/>
        <v>39</v>
      </c>
      <c r="Q423" s="319">
        <f t="shared" si="344"/>
        <v>81.06</v>
      </c>
      <c r="R423" s="9"/>
      <c r="S423" s="9"/>
      <c r="T423" s="9"/>
    </row>
    <row r="424" spans="1:20" ht="15.75" x14ac:dyDescent="0.2">
      <c r="A424" s="33">
        <f>IF(G424&lt;&gt;"",1+MAX($A$2:A423),"")</f>
        <v>258</v>
      </c>
      <c r="B424" s="384"/>
      <c r="C424" s="384"/>
      <c r="D424" s="27" t="s">
        <v>573</v>
      </c>
      <c r="E424" s="202" t="s">
        <v>32</v>
      </c>
      <c r="F424" s="37">
        <f>2+2+1+1</f>
        <v>6</v>
      </c>
      <c r="G424" s="209">
        <v>0</v>
      </c>
      <c r="H424" s="37">
        <f t="shared" si="370"/>
        <v>6</v>
      </c>
      <c r="I424" s="133">
        <v>0.245</v>
      </c>
      <c r="J424" s="240">
        <v>78</v>
      </c>
      <c r="K424" s="195">
        <f t="shared" si="371"/>
        <v>19.11</v>
      </c>
      <c r="L424" s="195">
        <v>17.559999999999999</v>
      </c>
      <c r="M424" s="39">
        <f t="shared" si="372"/>
        <v>36.67</v>
      </c>
      <c r="N424" s="40">
        <f t="shared" si="373"/>
        <v>220.02</v>
      </c>
      <c r="O424" s="9"/>
      <c r="P424" s="318">
        <f t="shared" si="343"/>
        <v>114.66</v>
      </c>
      <c r="Q424" s="319">
        <f t="shared" si="344"/>
        <v>105.35999999999999</v>
      </c>
      <c r="R424" s="9"/>
      <c r="S424" s="9"/>
      <c r="T424" s="9"/>
    </row>
    <row r="425" spans="1:20" ht="15.75" x14ac:dyDescent="0.2">
      <c r="A425" s="33">
        <f>IF(G425&lt;&gt;"",1+MAX($A$2:A424),"")</f>
        <v>259</v>
      </c>
      <c r="B425" s="384"/>
      <c r="C425" s="384"/>
      <c r="D425" s="27" t="s">
        <v>612</v>
      </c>
      <c r="E425" s="202" t="s">
        <v>32</v>
      </c>
      <c r="F425" s="37">
        <v>1</v>
      </c>
      <c r="G425" s="209">
        <v>0</v>
      </c>
      <c r="H425" s="37">
        <f t="shared" si="370"/>
        <v>1</v>
      </c>
      <c r="I425" s="133">
        <v>0.25</v>
      </c>
      <c r="J425" s="240">
        <v>78</v>
      </c>
      <c r="K425" s="195">
        <f t="shared" si="371"/>
        <v>19.5</v>
      </c>
      <c r="L425" s="195">
        <v>22.2</v>
      </c>
      <c r="M425" s="39">
        <f t="shared" si="372"/>
        <v>41.7</v>
      </c>
      <c r="N425" s="40">
        <f t="shared" si="373"/>
        <v>41.7</v>
      </c>
      <c r="O425" s="9"/>
      <c r="P425" s="318">
        <f t="shared" si="343"/>
        <v>19.5</v>
      </c>
      <c r="Q425" s="319">
        <f t="shared" si="344"/>
        <v>22.2</v>
      </c>
      <c r="R425" s="9"/>
      <c r="S425" s="9"/>
      <c r="T425" s="9"/>
    </row>
    <row r="426" spans="1:20" ht="15.75" x14ac:dyDescent="0.2">
      <c r="A426" s="33">
        <f>IF(G426&lt;&gt;"",1+MAX($A$2:A425),"")</f>
        <v>260</v>
      </c>
      <c r="B426" s="385"/>
      <c r="C426" s="385"/>
      <c r="D426" s="27" t="s">
        <v>574</v>
      </c>
      <c r="E426" s="202" t="s">
        <v>32</v>
      </c>
      <c r="F426" s="37">
        <f>3+3+3+2</f>
        <v>11</v>
      </c>
      <c r="G426" s="209">
        <v>0</v>
      </c>
      <c r="H426" s="37">
        <f t="shared" si="370"/>
        <v>11</v>
      </c>
      <c r="I426" s="133">
        <v>0.34</v>
      </c>
      <c r="J426" s="240">
        <v>78</v>
      </c>
      <c r="K426" s="195">
        <f t="shared" si="371"/>
        <v>26.520000000000003</v>
      </c>
      <c r="L426" s="195">
        <v>29.3</v>
      </c>
      <c r="M426" s="39">
        <f t="shared" si="372"/>
        <v>55.820000000000007</v>
      </c>
      <c r="N426" s="40">
        <f t="shared" si="373"/>
        <v>614.0200000000001</v>
      </c>
      <c r="O426" s="9"/>
      <c r="P426" s="318">
        <f t="shared" si="343"/>
        <v>291.72000000000003</v>
      </c>
      <c r="Q426" s="319">
        <f t="shared" si="344"/>
        <v>322.3</v>
      </c>
      <c r="R426" s="9"/>
      <c r="S426" s="9"/>
      <c r="T426" s="9"/>
    </row>
    <row r="427" spans="1:20" ht="15.75" x14ac:dyDescent="0.2">
      <c r="A427" s="33" t="str">
        <f>IF(G427&lt;&gt;"",1+MAX($A$2:A426),"")</f>
        <v/>
      </c>
      <c r="B427" s="34"/>
      <c r="C427" s="34"/>
      <c r="D427" s="161" t="s">
        <v>575</v>
      </c>
      <c r="E427" s="202"/>
      <c r="F427" s="37"/>
      <c r="G427" s="209"/>
      <c r="H427" s="37"/>
      <c r="I427" s="133"/>
      <c r="J427" s="240"/>
      <c r="K427" s="195"/>
      <c r="L427" s="195"/>
      <c r="M427" s="39"/>
      <c r="N427" s="40"/>
      <c r="O427" s="9"/>
      <c r="P427" s="318">
        <f t="shared" si="343"/>
        <v>0</v>
      </c>
      <c r="Q427" s="319">
        <f t="shared" si="344"/>
        <v>0</v>
      </c>
      <c r="R427" s="9"/>
      <c r="S427" s="9"/>
      <c r="T427" s="9"/>
    </row>
    <row r="428" spans="1:20" ht="15.75" x14ac:dyDescent="0.2">
      <c r="A428" s="33" t="str">
        <f>IF(G428&lt;&gt;"",1+MAX($A$2:A427),"")</f>
        <v/>
      </c>
      <c r="B428" s="34"/>
      <c r="C428" s="34"/>
      <c r="E428" s="202"/>
      <c r="F428" s="37"/>
      <c r="G428" s="209"/>
      <c r="H428" s="37"/>
      <c r="I428" s="133"/>
      <c r="J428" s="240"/>
      <c r="K428" s="195"/>
      <c r="L428" s="195"/>
      <c r="M428" s="39"/>
      <c r="N428" s="40"/>
      <c r="O428" s="9"/>
      <c r="P428" s="318">
        <f t="shared" si="343"/>
        <v>0</v>
      </c>
      <c r="Q428" s="319">
        <f t="shared" si="344"/>
        <v>0</v>
      </c>
      <c r="R428" s="9"/>
      <c r="S428" s="9"/>
      <c r="T428" s="9"/>
    </row>
    <row r="429" spans="1:20" ht="18" customHeight="1" x14ac:dyDescent="0.2">
      <c r="A429" s="33" t="str">
        <f>IF(G429&lt;&gt;"",1+MAX($A$2:A428),"")</f>
        <v/>
      </c>
      <c r="B429" s="34"/>
      <c r="C429" s="208"/>
      <c r="D429" s="226" t="s">
        <v>576</v>
      </c>
      <c r="E429" s="227"/>
      <c r="F429" s="94"/>
      <c r="G429" s="209"/>
      <c r="H429" s="37"/>
      <c r="I429" s="169"/>
      <c r="J429" s="243"/>
      <c r="K429" s="195"/>
      <c r="L429" s="195"/>
      <c r="M429" s="39"/>
      <c r="N429" s="40"/>
      <c r="O429" s="9"/>
      <c r="P429" s="318">
        <f t="shared" si="343"/>
        <v>0</v>
      </c>
      <c r="Q429" s="319">
        <f t="shared" si="344"/>
        <v>0</v>
      </c>
      <c r="R429" s="9"/>
      <c r="S429" s="9"/>
      <c r="T429" s="9"/>
    </row>
    <row r="430" spans="1:20" ht="18" customHeight="1" x14ac:dyDescent="0.2">
      <c r="A430" s="33" t="str">
        <f>IF(G430&lt;&gt;"",1+MAX($A$2:A429),"")</f>
        <v/>
      </c>
      <c r="B430" s="34"/>
      <c r="C430" s="34"/>
      <c r="D430" s="136" t="s">
        <v>577</v>
      </c>
      <c r="E430" s="198"/>
      <c r="F430" s="37"/>
      <c r="G430" s="209"/>
      <c r="H430" s="37"/>
      <c r="I430" s="169"/>
      <c r="J430" s="243"/>
      <c r="K430" s="195"/>
      <c r="L430" s="195"/>
      <c r="M430" s="39"/>
      <c r="N430" s="40"/>
      <c r="O430" s="9"/>
      <c r="P430" s="318">
        <f t="shared" si="343"/>
        <v>0</v>
      </c>
      <c r="Q430" s="319">
        <f t="shared" si="344"/>
        <v>0</v>
      </c>
      <c r="R430" s="9"/>
      <c r="S430" s="9"/>
      <c r="T430" s="9"/>
    </row>
    <row r="431" spans="1:20" ht="47.25" x14ac:dyDescent="0.2">
      <c r="A431" s="33">
        <f>IF(G431&lt;&gt;"",1+MAX($A$2:A430),"")</f>
        <v>261</v>
      </c>
      <c r="B431" s="383" t="s">
        <v>578</v>
      </c>
      <c r="C431" s="386" t="s">
        <v>579</v>
      </c>
      <c r="D431" s="160" t="s">
        <v>580</v>
      </c>
      <c r="E431" s="35" t="s">
        <v>32</v>
      </c>
      <c r="F431" s="37">
        <v>20</v>
      </c>
      <c r="G431" s="36">
        <v>0</v>
      </c>
      <c r="H431" s="37">
        <f t="shared" ref="H431:H438" si="374">(G431*F431)+F431</f>
        <v>20</v>
      </c>
      <c r="I431" s="133">
        <v>0.42499999999999999</v>
      </c>
      <c r="J431" s="240">
        <v>78</v>
      </c>
      <c r="K431" s="195">
        <f t="shared" ref="K431:K438" si="375">I431*J431</f>
        <v>33.15</v>
      </c>
      <c r="L431" s="195">
        <v>99.95</v>
      </c>
      <c r="M431" s="39">
        <f t="shared" ref="M431:M438" si="376">+L431+K431</f>
        <v>133.1</v>
      </c>
      <c r="N431" s="40">
        <f t="shared" ref="N431:N438" si="377">H431*M431</f>
        <v>2662</v>
      </c>
      <c r="O431" s="9"/>
      <c r="P431" s="318">
        <f t="shared" si="343"/>
        <v>663</v>
      </c>
      <c r="Q431" s="319">
        <f t="shared" si="344"/>
        <v>1999</v>
      </c>
      <c r="R431" s="9"/>
      <c r="S431" s="9"/>
      <c r="T431" s="9"/>
    </row>
    <row r="432" spans="1:20" ht="63" x14ac:dyDescent="0.2">
      <c r="A432" s="33">
        <f>IF(G432&lt;&gt;"",1+MAX($A$2:A431),"")</f>
        <v>262</v>
      </c>
      <c r="B432" s="384"/>
      <c r="C432" s="387"/>
      <c r="D432" s="160" t="s">
        <v>581</v>
      </c>
      <c r="E432" s="35" t="s">
        <v>32</v>
      </c>
      <c r="F432" s="37">
        <v>7</v>
      </c>
      <c r="G432" s="36">
        <v>0</v>
      </c>
      <c r="H432" s="37">
        <f t="shared" si="374"/>
        <v>7</v>
      </c>
      <c r="I432" s="133">
        <v>0.43</v>
      </c>
      <c r="J432" s="240">
        <v>78</v>
      </c>
      <c r="K432" s="195">
        <f t="shared" si="375"/>
        <v>33.54</v>
      </c>
      <c r="L432" s="195">
        <v>139.94999999999999</v>
      </c>
      <c r="M432" s="39">
        <f t="shared" si="376"/>
        <v>173.48999999999998</v>
      </c>
      <c r="N432" s="40">
        <f t="shared" si="377"/>
        <v>1214.4299999999998</v>
      </c>
      <c r="O432" s="9"/>
      <c r="P432" s="318">
        <f t="shared" si="343"/>
        <v>234.78</v>
      </c>
      <c r="Q432" s="319">
        <f t="shared" si="344"/>
        <v>979.64999999999986</v>
      </c>
      <c r="R432" s="9"/>
      <c r="S432" s="9"/>
      <c r="T432" s="9"/>
    </row>
    <row r="433" spans="1:20" ht="47.25" x14ac:dyDescent="0.2">
      <c r="A433" s="33">
        <f>IF(G433&lt;&gt;"",1+MAX($A$2:A432),"")</f>
        <v>263</v>
      </c>
      <c r="B433" s="384"/>
      <c r="C433" s="387"/>
      <c r="D433" s="160" t="s">
        <v>582</v>
      </c>
      <c r="E433" s="35" t="s">
        <v>32</v>
      </c>
      <c r="F433" s="37">
        <v>44</v>
      </c>
      <c r="G433" s="36">
        <v>0</v>
      </c>
      <c r="H433" s="37">
        <f t="shared" si="374"/>
        <v>44</v>
      </c>
      <c r="I433" s="133">
        <v>0.53800000000000003</v>
      </c>
      <c r="J433" s="240">
        <v>78</v>
      </c>
      <c r="K433" s="195">
        <f t="shared" si="375"/>
        <v>41.964000000000006</v>
      </c>
      <c r="L433" s="195">
        <v>148.49</v>
      </c>
      <c r="M433" s="39">
        <f t="shared" si="376"/>
        <v>190.45400000000001</v>
      </c>
      <c r="N433" s="40">
        <f t="shared" si="377"/>
        <v>8379.9760000000006</v>
      </c>
      <c r="O433" s="9"/>
      <c r="P433" s="318">
        <f t="shared" si="343"/>
        <v>1846.4160000000002</v>
      </c>
      <c r="Q433" s="319">
        <f t="shared" si="344"/>
        <v>6533.56</v>
      </c>
      <c r="R433" s="9"/>
      <c r="S433" s="9"/>
      <c r="T433" s="9"/>
    </row>
    <row r="434" spans="1:20" ht="47.25" x14ac:dyDescent="0.2">
      <c r="A434" s="33">
        <f>IF(G434&lt;&gt;"",1+MAX($A$2:A433),"")</f>
        <v>264</v>
      </c>
      <c r="B434" s="384"/>
      <c r="C434" s="387"/>
      <c r="D434" s="160" t="s">
        <v>583</v>
      </c>
      <c r="E434" s="35" t="s">
        <v>32</v>
      </c>
      <c r="F434" s="37">
        <v>47</v>
      </c>
      <c r="G434" s="36">
        <v>0</v>
      </c>
      <c r="H434" s="37">
        <f t="shared" si="374"/>
        <v>47</v>
      </c>
      <c r="I434" s="133">
        <v>0.54</v>
      </c>
      <c r="J434" s="240">
        <v>78</v>
      </c>
      <c r="K434" s="195">
        <f t="shared" si="375"/>
        <v>42.120000000000005</v>
      </c>
      <c r="L434" s="195">
        <v>203.49</v>
      </c>
      <c r="M434" s="39">
        <f t="shared" si="376"/>
        <v>245.61</v>
      </c>
      <c r="N434" s="40">
        <f t="shared" si="377"/>
        <v>11543.67</v>
      </c>
      <c r="O434" s="9"/>
      <c r="P434" s="318">
        <f t="shared" si="343"/>
        <v>1979.6400000000003</v>
      </c>
      <c r="Q434" s="319">
        <f t="shared" si="344"/>
        <v>9564.0300000000007</v>
      </c>
      <c r="R434" s="9"/>
      <c r="S434" s="9"/>
      <c r="T434" s="9"/>
    </row>
    <row r="435" spans="1:20" ht="63" x14ac:dyDescent="0.2">
      <c r="A435" s="33">
        <f>IF(G435&lt;&gt;"",1+MAX($A$2:A434),"")</f>
        <v>265</v>
      </c>
      <c r="B435" s="384"/>
      <c r="C435" s="387"/>
      <c r="D435" s="160" t="s">
        <v>584</v>
      </c>
      <c r="E435" s="35" t="s">
        <v>32</v>
      </c>
      <c r="F435" s="37">
        <v>15</v>
      </c>
      <c r="G435" s="36">
        <v>0</v>
      </c>
      <c r="H435" s="37">
        <f t="shared" si="374"/>
        <v>15</v>
      </c>
      <c r="I435" s="133">
        <v>0.38</v>
      </c>
      <c r="J435" s="240">
        <v>78</v>
      </c>
      <c r="K435" s="195">
        <f t="shared" si="375"/>
        <v>29.64</v>
      </c>
      <c r="L435" s="195">
        <v>136.25</v>
      </c>
      <c r="M435" s="39">
        <f t="shared" si="376"/>
        <v>165.89</v>
      </c>
      <c r="N435" s="40">
        <f t="shared" si="377"/>
        <v>2488.35</v>
      </c>
      <c r="O435" s="9"/>
      <c r="P435" s="318">
        <f t="shared" si="343"/>
        <v>444.6</v>
      </c>
      <c r="Q435" s="319">
        <f t="shared" si="344"/>
        <v>2043.75</v>
      </c>
      <c r="R435" s="9"/>
      <c r="S435" s="9"/>
      <c r="T435" s="9"/>
    </row>
    <row r="436" spans="1:20" ht="47.25" x14ac:dyDescent="0.2">
      <c r="A436" s="33">
        <f>IF(G436&lt;&gt;"",1+MAX($A$2:A435),"")</f>
        <v>266</v>
      </c>
      <c r="B436" s="384"/>
      <c r="C436" s="387"/>
      <c r="D436" s="160" t="s">
        <v>585</v>
      </c>
      <c r="E436" s="35" t="s">
        <v>32</v>
      </c>
      <c r="F436" s="37">
        <v>6</v>
      </c>
      <c r="G436" s="36">
        <v>0</v>
      </c>
      <c r="H436" s="37">
        <f t="shared" si="374"/>
        <v>6</v>
      </c>
      <c r="I436" s="133">
        <v>0.42</v>
      </c>
      <c r="J436" s="240">
        <v>78</v>
      </c>
      <c r="K436" s="195">
        <f t="shared" si="375"/>
        <v>32.76</v>
      </c>
      <c r="L436" s="195">
        <v>132.19999999999999</v>
      </c>
      <c r="M436" s="39">
        <f t="shared" si="376"/>
        <v>164.95999999999998</v>
      </c>
      <c r="N436" s="40">
        <f t="shared" si="377"/>
        <v>989.75999999999988</v>
      </c>
      <c r="O436" s="9"/>
      <c r="P436" s="318">
        <f t="shared" si="343"/>
        <v>196.56</v>
      </c>
      <c r="Q436" s="319">
        <f t="shared" si="344"/>
        <v>793.19999999999993</v>
      </c>
      <c r="R436" s="9"/>
      <c r="S436" s="9"/>
      <c r="T436" s="9"/>
    </row>
    <row r="437" spans="1:20" ht="47.25" x14ac:dyDescent="0.2">
      <c r="A437" s="33">
        <f>IF(G437&lt;&gt;"",1+MAX($A$2:A436),"")</f>
        <v>267</v>
      </c>
      <c r="B437" s="384"/>
      <c r="C437" s="387"/>
      <c r="D437" s="160" t="s">
        <v>586</v>
      </c>
      <c r="E437" s="35" t="s">
        <v>32</v>
      </c>
      <c r="F437" s="37">
        <v>2</v>
      </c>
      <c r="G437" s="36">
        <v>0</v>
      </c>
      <c r="H437" s="37">
        <f t="shared" si="374"/>
        <v>2</v>
      </c>
      <c r="I437" s="133">
        <v>0.41499999999999998</v>
      </c>
      <c r="J437" s="240">
        <v>78</v>
      </c>
      <c r="K437" s="195">
        <f t="shared" si="375"/>
        <v>32.369999999999997</v>
      </c>
      <c r="L437" s="195">
        <v>380.56</v>
      </c>
      <c r="M437" s="39">
        <f t="shared" si="376"/>
        <v>412.93</v>
      </c>
      <c r="N437" s="40">
        <f t="shared" si="377"/>
        <v>825.86</v>
      </c>
      <c r="O437" s="9"/>
      <c r="P437" s="318">
        <f t="shared" si="343"/>
        <v>64.739999999999995</v>
      </c>
      <c r="Q437" s="319">
        <f t="shared" si="344"/>
        <v>761.12</v>
      </c>
      <c r="R437" s="9"/>
      <c r="S437" s="9"/>
      <c r="T437" s="9"/>
    </row>
    <row r="438" spans="1:20" ht="47.25" x14ac:dyDescent="0.2">
      <c r="A438" s="33">
        <f>IF(G438&lt;&gt;"",1+MAX($A$2:A437),"")</f>
        <v>268</v>
      </c>
      <c r="B438" s="385"/>
      <c r="C438" s="388"/>
      <c r="D438" s="160" t="s">
        <v>587</v>
      </c>
      <c r="E438" s="35" t="s">
        <v>32</v>
      </c>
      <c r="F438" s="37">
        <v>1</v>
      </c>
      <c r="G438" s="36">
        <v>0</v>
      </c>
      <c r="H438" s="37">
        <f t="shared" si="374"/>
        <v>1</v>
      </c>
      <c r="I438" s="133">
        <v>0.41499999999999998</v>
      </c>
      <c r="J438" s="240">
        <v>78</v>
      </c>
      <c r="K438" s="195">
        <f t="shared" si="375"/>
        <v>32.369999999999997</v>
      </c>
      <c r="L438" s="195">
        <v>194.22</v>
      </c>
      <c r="M438" s="39">
        <f t="shared" si="376"/>
        <v>226.59</v>
      </c>
      <c r="N438" s="40">
        <f t="shared" si="377"/>
        <v>226.59</v>
      </c>
      <c r="O438" s="9"/>
      <c r="P438" s="318">
        <f t="shared" si="343"/>
        <v>32.369999999999997</v>
      </c>
      <c r="Q438" s="319">
        <f t="shared" si="344"/>
        <v>194.22</v>
      </c>
      <c r="R438" s="9"/>
      <c r="S438" s="9"/>
      <c r="T438" s="9"/>
    </row>
    <row r="439" spans="1:20" ht="15.75" x14ac:dyDescent="0.2">
      <c r="A439" s="33" t="str">
        <f>IF(G439&lt;&gt;"",1+MAX($A$2:A438),"")</f>
        <v/>
      </c>
      <c r="B439" s="34"/>
      <c r="C439" s="34"/>
      <c r="D439" s="27"/>
      <c r="E439" s="202"/>
      <c r="F439" s="37"/>
      <c r="G439" s="209"/>
      <c r="H439" s="37"/>
      <c r="I439" s="133"/>
      <c r="J439" s="240"/>
      <c r="K439" s="195"/>
      <c r="L439" s="195"/>
      <c r="M439" s="39"/>
      <c r="N439" s="40"/>
      <c r="O439" s="9"/>
      <c r="P439" s="318">
        <f t="shared" si="343"/>
        <v>0</v>
      </c>
      <c r="Q439" s="319">
        <f t="shared" si="344"/>
        <v>0</v>
      </c>
      <c r="R439" s="9"/>
      <c r="S439" s="9"/>
      <c r="T439" s="9"/>
    </row>
    <row r="440" spans="1:20" ht="18" customHeight="1" x14ac:dyDescent="0.2">
      <c r="A440" s="33" t="str">
        <f>IF(G440&lt;&gt;"",1+MAX($A$2:A439),"")</f>
        <v/>
      </c>
      <c r="B440" s="34"/>
      <c r="C440" s="208"/>
      <c r="D440" s="226" t="s">
        <v>576</v>
      </c>
      <c r="E440" s="227"/>
      <c r="F440" s="94"/>
      <c r="G440" s="209"/>
      <c r="H440" s="37"/>
      <c r="I440" s="169"/>
      <c r="J440" s="243"/>
      <c r="K440" s="195"/>
      <c r="L440" s="195"/>
      <c r="M440" s="39"/>
      <c r="N440" s="40"/>
      <c r="O440" s="9"/>
      <c r="P440" s="318">
        <f t="shared" si="343"/>
        <v>0</v>
      </c>
      <c r="Q440" s="319">
        <f t="shared" si="344"/>
        <v>0</v>
      </c>
      <c r="R440" s="9"/>
      <c r="S440" s="9"/>
      <c r="T440" s="9"/>
    </row>
    <row r="441" spans="1:20" ht="18" customHeight="1" x14ac:dyDescent="0.2">
      <c r="A441" s="33" t="str">
        <f>IF(G441&lt;&gt;"",1+MAX($A$2:A440),"")</f>
        <v/>
      </c>
      <c r="B441" s="34"/>
      <c r="C441" s="34"/>
      <c r="D441" s="136" t="s">
        <v>588</v>
      </c>
      <c r="E441" s="198"/>
      <c r="F441" s="37"/>
      <c r="G441" s="209"/>
      <c r="H441" s="37"/>
      <c r="I441" s="169"/>
      <c r="J441" s="243"/>
      <c r="K441" s="195"/>
      <c r="L441" s="195"/>
      <c r="M441" s="39"/>
      <c r="N441" s="40"/>
      <c r="O441" s="9"/>
      <c r="P441" s="318">
        <f t="shared" si="343"/>
        <v>0</v>
      </c>
      <c r="Q441" s="319">
        <f t="shared" si="344"/>
        <v>0</v>
      </c>
      <c r="R441" s="9"/>
      <c r="S441" s="9"/>
      <c r="T441" s="9"/>
    </row>
    <row r="442" spans="1:20" ht="78.75" x14ac:dyDescent="0.2">
      <c r="A442" s="33">
        <f>IF(G442&lt;&gt;"",1+MAX($A$2:A441),"")</f>
        <v>269</v>
      </c>
      <c r="B442" s="383" t="s">
        <v>578</v>
      </c>
      <c r="C442" s="386" t="s">
        <v>589</v>
      </c>
      <c r="D442" s="160" t="s">
        <v>590</v>
      </c>
      <c r="E442" s="35" t="s">
        <v>32</v>
      </c>
      <c r="F442" s="37">
        <v>4</v>
      </c>
      <c r="G442" s="209">
        <v>0</v>
      </c>
      <c r="H442" s="37">
        <f t="shared" ref="H442:H451" si="378">(G442*F442)+F442</f>
        <v>4</v>
      </c>
      <c r="I442" s="133">
        <v>0.45</v>
      </c>
      <c r="J442" s="240">
        <v>78</v>
      </c>
      <c r="K442" s="195">
        <f t="shared" ref="K442:K451" si="379">I442*J442</f>
        <v>35.1</v>
      </c>
      <c r="L442" s="195">
        <v>1388.3</v>
      </c>
      <c r="M442" s="39">
        <f t="shared" ref="M442:M443" si="380">+L442+K442</f>
        <v>1423.3999999999999</v>
      </c>
      <c r="N442" s="40">
        <f t="shared" ref="N442:N443" si="381">H442*M442</f>
        <v>5693.5999999999995</v>
      </c>
      <c r="O442" s="9"/>
      <c r="P442" s="318">
        <f t="shared" si="343"/>
        <v>140.4</v>
      </c>
      <c r="Q442" s="319">
        <f t="shared" si="344"/>
        <v>5553.2</v>
      </c>
      <c r="R442" s="9"/>
      <c r="S442" s="9"/>
      <c r="T442" s="9"/>
    </row>
    <row r="443" spans="1:20" ht="47.25" x14ac:dyDescent="0.2">
      <c r="A443" s="33">
        <f>IF(G443&lt;&gt;"",1+MAX($A$2:A442),"")</f>
        <v>270</v>
      </c>
      <c r="B443" s="385"/>
      <c r="C443" s="388"/>
      <c r="D443" s="160" t="s">
        <v>591</v>
      </c>
      <c r="E443" s="35" t="s">
        <v>32</v>
      </c>
      <c r="F443" s="37">
        <v>5</v>
      </c>
      <c r="G443" s="209">
        <v>0</v>
      </c>
      <c r="H443" s="37">
        <f>(G443*F443)+F443</f>
        <v>5</v>
      </c>
      <c r="I443" s="133">
        <v>0.435</v>
      </c>
      <c r="J443" s="240">
        <v>78</v>
      </c>
      <c r="K443" s="195">
        <f t="shared" si="379"/>
        <v>33.93</v>
      </c>
      <c r="L443" s="195">
        <v>1288.3</v>
      </c>
      <c r="M443" s="39">
        <f t="shared" si="380"/>
        <v>1322.23</v>
      </c>
      <c r="N443" s="40">
        <f t="shared" si="381"/>
        <v>6611.15</v>
      </c>
      <c r="O443" s="9"/>
      <c r="P443" s="318">
        <f t="shared" si="343"/>
        <v>169.65</v>
      </c>
      <c r="Q443" s="319">
        <f t="shared" si="344"/>
        <v>6441.5</v>
      </c>
      <c r="R443" s="9"/>
      <c r="S443" s="9"/>
      <c r="T443" s="9"/>
    </row>
    <row r="444" spans="1:20" ht="18" customHeight="1" x14ac:dyDescent="0.2">
      <c r="A444" s="33" t="str">
        <f>IF(G444&lt;&gt;"",1+MAX($A$2:A443),"")</f>
        <v/>
      </c>
      <c r="B444" s="34"/>
      <c r="C444" s="34"/>
      <c r="D444" s="136" t="s">
        <v>592</v>
      </c>
      <c r="E444" s="198"/>
      <c r="F444" s="37"/>
      <c r="G444" s="209"/>
      <c r="H444" s="37"/>
      <c r="I444" s="169"/>
      <c r="J444" s="243"/>
      <c r="K444" s="195"/>
      <c r="L444" s="195"/>
      <c r="M444" s="39"/>
      <c r="N444" s="40"/>
      <c r="O444" s="9"/>
      <c r="P444" s="318">
        <f t="shared" si="343"/>
        <v>0</v>
      </c>
      <c r="Q444" s="319">
        <f t="shared" si="344"/>
        <v>0</v>
      </c>
      <c r="R444" s="9"/>
      <c r="S444" s="9"/>
      <c r="T444" s="9"/>
    </row>
    <row r="445" spans="1:20" ht="15.75" x14ac:dyDescent="0.2">
      <c r="A445" s="33">
        <f>IF(G445&lt;&gt;"",1+MAX($A$2:A444),"")</f>
        <v>271</v>
      </c>
      <c r="B445" s="383" t="s">
        <v>578</v>
      </c>
      <c r="C445" s="383" t="s">
        <v>563</v>
      </c>
      <c r="D445" s="27" t="s">
        <v>593</v>
      </c>
      <c r="E445" s="202" t="s">
        <v>32</v>
      </c>
      <c r="F445" s="37">
        <v>4</v>
      </c>
      <c r="G445" s="209">
        <v>0</v>
      </c>
      <c r="H445" s="37">
        <f t="shared" si="378"/>
        <v>4</v>
      </c>
      <c r="I445" s="133">
        <v>0.42799999999999999</v>
      </c>
      <c r="J445" s="240">
        <v>78</v>
      </c>
      <c r="K445" s="195">
        <f t="shared" si="379"/>
        <v>33.384</v>
      </c>
      <c r="L445" s="195">
        <v>13.99</v>
      </c>
      <c r="M445" s="39">
        <f t="shared" ref="M445:M451" si="382">+L445+K445</f>
        <v>47.374000000000002</v>
      </c>
      <c r="N445" s="40">
        <f t="shared" ref="N445:N451" si="383">H445*M445</f>
        <v>189.49600000000001</v>
      </c>
      <c r="O445" s="9"/>
      <c r="P445" s="318">
        <f t="shared" si="343"/>
        <v>133.536</v>
      </c>
      <c r="Q445" s="319">
        <f t="shared" si="344"/>
        <v>55.96</v>
      </c>
      <c r="R445" s="9"/>
      <c r="S445" s="9"/>
      <c r="T445" s="9"/>
    </row>
    <row r="446" spans="1:20" ht="15.75" x14ac:dyDescent="0.2">
      <c r="A446" s="33">
        <f>IF(G446&lt;&gt;"",1+MAX($A$2:A445),"")</f>
        <v>272</v>
      </c>
      <c r="B446" s="384"/>
      <c r="C446" s="384"/>
      <c r="D446" s="27" t="s">
        <v>613</v>
      </c>
      <c r="E446" s="202" t="s">
        <v>32</v>
      </c>
      <c r="F446" s="37">
        <v>11</v>
      </c>
      <c r="G446" s="36">
        <v>0</v>
      </c>
      <c r="H446" s="37">
        <f t="shared" si="378"/>
        <v>11</v>
      </c>
      <c r="I446" s="133">
        <v>0.46500000000000002</v>
      </c>
      <c r="J446" s="240">
        <v>78</v>
      </c>
      <c r="K446" s="195">
        <f t="shared" si="379"/>
        <v>36.270000000000003</v>
      </c>
      <c r="L446" s="195">
        <v>259</v>
      </c>
      <c r="M446" s="39">
        <f t="shared" si="382"/>
        <v>295.27</v>
      </c>
      <c r="N446" s="40">
        <f t="shared" si="383"/>
        <v>3247.97</v>
      </c>
      <c r="O446" s="9"/>
      <c r="P446" s="318">
        <f t="shared" ref="P446:P511" si="384">K446*H446</f>
        <v>398.97</v>
      </c>
      <c r="Q446" s="319">
        <f t="shared" ref="Q446:Q511" si="385">L446*H446</f>
        <v>2849</v>
      </c>
      <c r="R446" s="9"/>
      <c r="S446" s="9"/>
      <c r="T446" s="9"/>
    </row>
    <row r="447" spans="1:20" ht="15.75" x14ac:dyDescent="0.2">
      <c r="A447" s="33">
        <f>IF(G447&lt;&gt;"",1+MAX($A$2:A446),"")</f>
        <v>273</v>
      </c>
      <c r="B447" s="384"/>
      <c r="C447" s="384"/>
      <c r="D447" s="27" t="s">
        <v>594</v>
      </c>
      <c r="E447" s="202" t="s">
        <v>32</v>
      </c>
      <c r="F447" s="37">
        <v>3</v>
      </c>
      <c r="G447" s="36">
        <v>0</v>
      </c>
      <c r="H447" s="37">
        <f t="shared" si="378"/>
        <v>3</v>
      </c>
      <c r="I447" s="133">
        <v>0.36499999999999999</v>
      </c>
      <c r="J447" s="240">
        <v>78</v>
      </c>
      <c r="K447" s="195">
        <f t="shared" si="379"/>
        <v>28.47</v>
      </c>
      <c r="L447" s="195">
        <v>11.23</v>
      </c>
      <c r="M447" s="39">
        <f t="shared" si="382"/>
        <v>39.700000000000003</v>
      </c>
      <c r="N447" s="40">
        <f t="shared" si="383"/>
        <v>119.10000000000001</v>
      </c>
      <c r="O447" s="9"/>
      <c r="P447" s="318">
        <f t="shared" si="384"/>
        <v>85.41</v>
      </c>
      <c r="Q447" s="319">
        <f t="shared" si="385"/>
        <v>33.69</v>
      </c>
      <c r="R447" s="9"/>
      <c r="S447" s="9"/>
      <c r="T447" s="9"/>
    </row>
    <row r="448" spans="1:20" ht="15.75" x14ac:dyDescent="0.2">
      <c r="A448" s="33">
        <f>IF(G448&lt;&gt;"",1+MAX($A$2:A447),"")</f>
        <v>274</v>
      </c>
      <c r="B448" s="384"/>
      <c r="C448" s="384"/>
      <c r="D448" s="27" t="s">
        <v>595</v>
      </c>
      <c r="E448" s="202" t="s">
        <v>32</v>
      </c>
      <c r="F448" s="37">
        <v>14</v>
      </c>
      <c r="G448" s="36">
        <v>0</v>
      </c>
      <c r="H448" s="37">
        <f t="shared" si="378"/>
        <v>14</v>
      </c>
      <c r="I448" s="133">
        <v>0.42</v>
      </c>
      <c r="J448" s="240">
        <v>78</v>
      </c>
      <c r="K448" s="195">
        <f t="shared" si="379"/>
        <v>32.76</v>
      </c>
      <c r="L448" s="195">
        <v>98.76</v>
      </c>
      <c r="M448" s="39">
        <f t="shared" si="382"/>
        <v>131.52000000000001</v>
      </c>
      <c r="N448" s="40">
        <f t="shared" si="383"/>
        <v>1841.2800000000002</v>
      </c>
      <c r="O448" s="9"/>
      <c r="P448" s="318">
        <f t="shared" si="384"/>
        <v>458.64</v>
      </c>
      <c r="Q448" s="319">
        <f t="shared" si="385"/>
        <v>1382.64</v>
      </c>
      <c r="R448" s="9"/>
      <c r="S448" s="9"/>
      <c r="T448" s="9"/>
    </row>
    <row r="449" spans="1:20" ht="78.75" x14ac:dyDescent="0.2">
      <c r="A449" s="33">
        <f>IF(G449&lt;&gt;"",1+MAX($A$2:A448),"")</f>
        <v>275</v>
      </c>
      <c r="B449" s="384"/>
      <c r="C449" s="384"/>
      <c r="D449" s="160" t="s">
        <v>596</v>
      </c>
      <c r="E449" s="202" t="s">
        <v>32</v>
      </c>
      <c r="F449" s="37">
        <v>27</v>
      </c>
      <c r="G449" s="36">
        <v>0</v>
      </c>
      <c r="H449" s="37">
        <f t="shared" si="378"/>
        <v>27</v>
      </c>
      <c r="I449" s="133">
        <v>0.42</v>
      </c>
      <c r="J449" s="240">
        <v>78</v>
      </c>
      <c r="K449" s="195">
        <f t="shared" si="379"/>
        <v>32.76</v>
      </c>
      <c r="L449" s="195">
        <v>210.96</v>
      </c>
      <c r="M449" s="39">
        <f t="shared" si="382"/>
        <v>243.72</v>
      </c>
      <c r="N449" s="40">
        <f t="shared" si="383"/>
        <v>6580.44</v>
      </c>
      <c r="O449" s="9"/>
      <c r="P449" s="318">
        <f t="shared" si="384"/>
        <v>884.52</v>
      </c>
      <c r="Q449" s="319">
        <f t="shared" si="385"/>
        <v>5695.92</v>
      </c>
      <c r="R449" s="9"/>
      <c r="S449" s="9"/>
      <c r="T449" s="9"/>
    </row>
    <row r="450" spans="1:20" ht="47.25" x14ac:dyDescent="0.2">
      <c r="A450" s="33">
        <f>IF(G450&lt;&gt;"",1+MAX($A$2:A449),"")</f>
        <v>276</v>
      </c>
      <c r="B450" s="384"/>
      <c r="C450" s="384"/>
      <c r="D450" s="160" t="s">
        <v>597</v>
      </c>
      <c r="E450" s="202" t="s">
        <v>32</v>
      </c>
      <c r="F450" s="37">
        <v>2</v>
      </c>
      <c r="G450" s="36">
        <v>0</v>
      </c>
      <c r="H450" s="37">
        <f t="shared" si="378"/>
        <v>2</v>
      </c>
      <c r="I450" s="133">
        <v>0.38500000000000001</v>
      </c>
      <c r="J450" s="240">
        <v>78</v>
      </c>
      <c r="K450" s="195">
        <f t="shared" si="379"/>
        <v>30.03</v>
      </c>
      <c r="L450" s="195">
        <v>39.950000000000003</v>
      </c>
      <c r="M450" s="39">
        <f t="shared" si="382"/>
        <v>69.98</v>
      </c>
      <c r="N450" s="40">
        <f t="shared" si="383"/>
        <v>139.96</v>
      </c>
      <c r="O450" s="9"/>
      <c r="P450" s="318">
        <f t="shared" si="384"/>
        <v>60.06</v>
      </c>
      <c r="Q450" s="319">
        <f t="shared" si="385"/>
        <v>79.900000000000006</v>
      </c>
      <c r="R450" s="9"/>
      <c r="S450" s="9"/>
      <c r="T450" s="9"/>
    </row>
    <row r="451" spans="1:20" ht="31.5" x14ac:dyDescent="0.2">
      <c r="A451" s="33">
        <f>IF(G451&lt;&gt;"",1+MAX($A$2:A450),"")</f>
        <v>277</v>
      </c>
      <c r="B451" s="385"/>
      <c r="C451" s="385"/>
      <c r="D451" s="160" t="s">
        <v>598</v>
      </c>
      <c r="E451" s="202" t="s">
        <v>32</v>
      </c>
      <c r="F451" s="37">
        <v>19</v>
      </c>
      <c r="G451" s="36">
        <v>0</v>
      </c>
      <c r="H451" s="37">
        <f t="shared" si="378"/>
        <v>19</v>
      </c>
      <c r="I451" s="133">
        <v>0.435</v>
      </c>
      <c r="J451" s="240">
        <v>78</v>
      </c>
      <c r="K451" s="195">
        <f t="shared" si="379"/>
        <v>33.93</v>
      </c>
      <c r="L451" s="195">
        <v>59.95</v>
      </c>
      <c r="M451" s="39">
        <f t="shared" si="382"/>
        <v>93.88</v>
      </c>
      <c r="N451" s="40">
        <f t="shared" si="383"/>
        <v>1783.7199999999998</v>
      </c>
      <c r="O451" s="9"/>
      <c r="P451" s="318">
        <f t="shared" si="384"/>
        <v>644.66999999999996</v>
      </c>
      <c r="Q451" s="319">
        <f t="shared" si="385"/>
        <v>1139.05</v>
      </c>
      <c r="R451" s="9"/>
      <c r="S451" s="9"/>
      <c r="T451" s="9"/>
    </row>
    <row r="452" spans="1:20" ht="18" customHeight="1" x14ac:dyDescent="0.2">
      <c r="A452" s="33" t="str">
        <f>IF(G452&lt;&gt;"",1+MAX($A$2:A451),"")</f>
        <v/>
      </c>
      <c r="B452" s="34"/>
      <c r="C452" s="34"/>
      <c r="D452" s="136" t="s">
        <v>599</v>
      </c>
      <c r="E452" s="198"/>
      <c r="F452" s="37"/>
      <c r="G452" s="209"/>
      <c r="H452" s="37"/>
      <c r="I452" s="169"/>
      <c r="J452" s="243"/>
      <c r="K452" s="195"/>
      <c r="L452" s="195"/>
      <c r="M452" s="39"/>
      <c r="N452" s="40"/>
      <c r="O452" s="9"/>
      <c r="P452" s="318">
        <f t="shared" si="384"/>
        <v>0</v>
      </c>
      <c r="Q452" s="319">
        <f t="shared" si="385"/>
        <v>0</v>
      </c>
      <c r="R452" s="9"/>
      <c r="S452" s="9"/>
      <c r="T452" s="9"/>
    </row>
    <row r="453" spans="1:20" ht="47.25" x14ac:dyDescent="0.2">
      <c r="A453" s="33">
        <f>IF(G453&lt;&gt;"",1+MAX($A$2:A452),"")</f>
        <v>278</v>
      </c>
      <c r="B453" s="34" t="s">
        <v>556</v>
      </c>
      <c r="C453" s="216" t="s">
        <v>600</v>
      </c>
      <c r="D453" s="160" t="s">
        <v>601</v>
      </c>
      <c r="E453" s="202" t="s">
        <v>32</v>
      </c>
      <c r="F453" s="37">
        <v>1</v>
      </c>
      <c r="G453" s="36">
        <v>0</v>
      </c>
      <c r="H453" s="37">
        <f t="shared" ref="H453" si="386">(G453*F453)+F453</f>
        <v>1</v>
      </c>
      <c r="I453" s="133">
        <v>3.22</v>
      </c>
      <c r="J453" s="240">
        <v>78</v>
      </c>
      <c r="K453" s="195">
        <f t="shared" ref="K453" si="387">I453*J453</f>
        <v>251.16000000000003</v>
      </c>
      <c r="L453" s="195">
        <v>1767</v>
      </c>
      <c r="M453" s="39">
        <f t="shared" ref="M453" si="388">+L453+K453</f>
        <v>2018.16</v>
      </c>
      <c r="N453" s="40">
        <f t="shared" ref="N453" si="389">H453*M453</f>
        <v>2018.16</v>
      </c>
      <c r="O453" s="9"/>
      <c r="P453" s="318">
        <f t="shared" si="384"/>
        <v>251.16000000000003</v>
      </c>
      <c r="Q453" s="319">
        <f t="shared" si="385"/>
        <v>1767</v>
      </c>
      <c r="R453" s="9"/>
      <c r="S453" s="9"/>
      <c r="T453" s="9"/>
    </row>
    <row r="454" spans="1:20" ht="18" customHeight="1" x14ac:dyDescent="0.2">
      <c r="A454" s="33" t="str">
        <f>IF(G454&lt;&gt;"",1+MAX($A$2:A453),"")</f>
        <v/>
      </c>
      <c r="B454" s="143"/>
      <c r="C454" s="143"/>
      <c r="D454" s="136" t="s">
        <v>616</v>
      </c>
      <c r="E454" s="198"/>
      <c r="F454" s="37"/>
      <c r="G454" s="209"/>
      <c r="H454" s="37"/>
      <c r="I454" s="169"/>
      <c r="J454" s="243"/>
      <c r="K454" s="195"/>
      <c r="L454" s="195"/>
      <c r="M454" s="39"/>
      <c r="N454" s="40"/>
      <c r="O454" s="9"/>
      <c r="P454" s="318">
        <f t="shared" ref="P454:P455" si="390">K454*H454</f>
        <v>0</v>
      </c>
      <c r="Q454" s="319">
        <f t="shared" ref="Q454:Q455" si="391">L454*H454</f>
        <v>0</v>
      </c>
      <c r="R454" s="9"/>
      <c r="S454" s="9"/>
      <c r="T454" s="9"/>
    </row>
    <row r="455" spans="1:20" ht="47.25" x14ac:dyDescent="0.2">
      <c r="A455" s="57">
        <f>IF(G455&lt;&gt;"",1+MAX($A$2:A454),"")</f>
        <v>279</v>
      </c>
      <c r="B455" s="324" t="s">
        <v>578</v>
      </c>
      <c r="C455" s="325" t="s">
        <v>617</v>
      </c>
      <c r="D455" s="160" t="s">
        <v>618</v>
      </c>
      <c r="E455" s="35" t="s">
        <v>32</v>
      </c>
      <c r="F455" s="37">
        <v>1</v>
      </c>
      <c r="G455" s="36">
        <v>0</v>
      </c>
      <c r="H455" s="37">
        <f t="shared" ref="H455" si="392">(G455*F455)+F455</f>
        <v>1</v>
      </c>
      <c r="I455" s="133">
        <v>0.38500000000000001</v>
      </c>
      <c r="J455" s="240">
        <v>78</v>
      </c>
      <c r="K455" s="195">
        <f t="shared" ref="K455" si="393">I455*J455</f>
        <v>30.03</v>
      </c>
      <c r="L455" s="195">
        <v>53.08</v>
      </c>
      <c r="M455" s="39">
        <f t="shared" ref="M455" si="394">+L455+K455</f>
        <v>83.11</v>
      </c>
      <c r="N455" s="40">
        <f t="shared" ref="N455" si="395">H455*M455</f>
        <v>83.11</v>
      </c>
      <c r="O455" s="9"/>
      <c r="P455" s="318">
        <f t="shared" si="390"/>
        <v>30.03</v>
      </c>
      <c r="Q455" s="319">
        <f t="shared" si="391"/>
        <v>53.08</v>
      </c>
      <c r="R455" s="9"/>
      <c r="S455" s="9"/>
      <c r="T455" s="9"/>
    </row>
    <row r="456" spans="1:20" s="1" customFormat="1" ht="15" customHeight="1" x14ac:dyDescent="0.2">
      <c r="A456" s="42" t="str">
        <f>IF(G456&lt;&gt;"",1+MAX($A$2:A453),"")</f>
        <v/>
      </c>
      <c r="B456" s="43"/>
      <c r="C456" s="43"/>
      <c r="D456" s="43"/>
      <c r="E456" s="43"/>
      <c r="F456" s="43"/>
      <c r="G456" s="43"/>
      <c r="H456" s="43"/>
      <c r="I456" s="256"/>
      <c r="J456" s="241"/>
      <c r="K456" s="44"/>
      <c r="L456" s="44"/>
      <c r="M456" s="45" t="s">
        <v>22</v>
      </c>
      <c r="N456" s="46">
        <f>SUM(N409:N455)</f>
        <v>111720.804</v>
      </c>
      <c r="O456" s="4"/>
      <c r="P456" s="318">
        <f t="shared" si="384"/>
        <v>0</v>
      </c>
      <c r="Q456" s="319">
        <f t="shared" si="385"/>
        <v>0</v>
      </c>
      <c r="R456" s="4"/>
      <c r="S456" s="4"/>
      <c r="T456" s="4"/>
    </row>
    <row r="457" spans="1:20" ht="15.75" x14ac:dyDescent="0.2">
      <c r="A457" s="72" t="str">
        <f>IF(G457&lt;&gt;"",1+MAX($A$2:A456),"")</f>
        <v/>
      </c>
      <c r="B457" s="73"/>
      <c r="C457" s="73"/>
      <c r="D457" s="73"/>
      <c r="E457" s="74"/>
      <c r="F457" s="285"/>
      <c r="G457" s="75"/>
      <c r="H457" s="285"/>
      <c r="I457" s="286"/>
      <c r="J457" s="287"/>
      <c r="K457" s="76"/>
      <c r="L457" s="76"/>
      <c r="M457" s="288"/>
      <c r="N457" s="77"/>
      <c r="O457" s="9"/>
      <c r="P457" s="318">
        <f t="shared" si="384"/>
        <v>0</v>
      </c>
      <c r="Q457" s="319">
        <f t="shared" si="385"/>
        <v>0</v>
      </c>
      <c r="R457" s="9"/>
      <c r="S457" s="9"/>
      <c r="T457" s="9"/>
    </row>
    <row r="458" spans="1:20" ht="18.75" x14ac:dyDescent="0.2">
      <c r="A458" s="50" t="str">
        <f>IF(G458&lt;&gt;"",1+MAX($A$2:A457),"")</f>
        <v/>
      </c>
      <c r="B458" s="51"/>
      <c r="C458" s="51"/>
      <c r="D458" s="52"/>
      <c r="E458" s="53" t="s">
        <v>602</v>
      </c>
      <c r="F458" s="54"/>
      <c r="G458" s="54"/>
      <c r="H458" s="54"/>
      <c r="I458" s="167"/>
      <c r="J458" s="239"/>
      <c r="K458" s="54"/>
      <c r="L458" s="54"/>
      <c r="M458" s="55"/>
      <c r="N458" s="56"/>
      <c r="O458" s="9"/>
      <c r="P458" s="318">
        <f t="shared" si="384"/>
        <v>0</v>
      </c>
      <c r="Q458" s="319">
        <f t="shared" si="385"/>
        <v>0</v>
      </c>
      <c r="R458" s="9"/>
      <c r="S458" s="9"/>
      <c r="T458" s="9"/>
    </row>
    <row r="459" spans="1:20" ht="18" customHeight="1" x14ac:dyDescent="0.2">
      <c r="A459" s="33" t="str">
        <f>IF(G459&lt;&gt;"",1+MAX($A$2:A458),"")</f>
        <v/>
      </c>
      <c r="B459" s="34"/>
      <c r="C459" s="208"/>
      <c r="D459" s="226" t="s">
        <v>603</v>
      </c>
      <c r="E459" s="135"/>
      <c r="F459" s="94"/>
      <c r="G459" s="209" t="str">
        <f t="shared" ref="G459" si="396">IF(F459=0,"",0)</f>
        <v/>
      </c>
      <c r="H459" s="210" t="str">
        <f>IF(F459=0,"",F459*(1+G459))</f>
        <v/>
      </c>
      <c r="I459" s="257"/>
      <c r="J459" s="250"/>
      <c r="K459" s="195"/>
      <c r="L459" s="195"/>
      <c r="M459" s="39"/>
      <c r="N459" s="40"/>
      <c r="O459" s="9"/>
      <c r="P459" s="318"/>
      <c r="Q459" s="319"/>
      <c r="R459" s="9"/>
      <c r="S459" s="9"/>
      <c r="T459" s="9"/>
    </row>
    <row r="460" spans="1:20" ht="15.75" x14ac:dyDescent="0.2">
      <c r="A460" s="33">
        <f>IF(G460&lt;&gt;"",1+MAX($A$2:A459),"")</f>
        <v>280</v>
      </c>
      <c r="B460" s="383" t="s">
        <v>322</v>
      </c>
      <c r="C460" s="34" t="s">
        <v>496</v>
      </c>
      <c r="D460" s="27" t="s">
        <v>604</v>
      </c>
      <c r="E460" s="202" t="s">
        <v>32</v>
      </c>
      <c r="F460" s="37">
        <v>2</v>
      </c>
      <c r="G460" s="36">
        <v>0</v>
      </c>
      <c r="H460" s="37">
        <f t="shared" ref="H460:H464" si="397">(G460*F460)+F460</f>
        <v>2</v>
      </c>
      <c r="I460" s="133">
        <v>0.41499999999999998</v>
      </c>
      <c r="J460" s="240">
        <v>78</v>
      </c>
      <c r="K460" s="195">
        <f t="shared" ref="K460:K464" si="398">I460*J460</f>
        <v>32.369999999999997</v>
      </c>
      <c r="L460" s="195">
        <v>58.99</v>
      </c>
      <c r="M460" s="39">
        <f t="shared" ref="M460:M464" si="399">+L460+K460</f>
        <v>91.36</v>
      </c>
      <c r="N460" s="40">
        <f t="shared" ref="N460:N464" si="400">H460*M460</f>
        <v>182.72</v>
      </c>
      <c r="O460" s="9"/>
      <c r="P460" s="318">
        <f t="shared" si="384"/>
        <v>64.739999999999995</v>
      </c>
      <c r="Q460" s="319">
        <f t="shared" si="385"/>
        <v>117.98</v>
      </c>
      <c r="R460" s="9"/>
      <c r="S460" s="9"/>
      <c r="T460" s="9"/>
    </row>
    <row r="461" spans="1:20" ht="31.5" x14ac:dyDescent="0.2">
      <c r="A461" s="33">
        <f>IF(G461&lt;&gt;"",1+MAX($A$2:A460),"")</f>
        <v>281</v>
      </c>
      <c r="B461" s="384"/>
      <c r="C461" s="383" t="s">
        <v>605</v>
      </c>
      <c r="D461" s="160" t="s">
        <v>606</v>
      </c>
      <c r="E461" s="202" t="s">
        <v>32</v>
      </c>
      <c r="F461" s="37">
        <v>5</v>
      </c>
      <c r="G461" s="36">
        <v>0</v>
      </c>
      <c r="H461" s="37">
        <f t="shared" si="397"/>
        <v>5</v>
      </c>
      <c r="I461" s="133">
        <v>0.38</v>
      </c>
      <c r="J461" s="240">
        <f>$J$460</f>
        <v>78</v>
      </c>
      <c r="K461" s="195">
        <f t="shared" si="398"/>
        <v>29.64</v>
      </c>
      <c r="L461" s="195">
        <v>225.63</v>
      </c>
      <c r="M461" s="39">
        <f t="shared" si="399"/>
        <v>255.26999999999998</v>
      </c>
      <c r="N461" s="40">
        <f t="shared" si="400"/>
        <v>1276.3499999999999</v>
      </c>
      <c r="O461" s="9"/>
      <c r="P461" s="318">
        <f t="shared" si="384"/>
        <v>148.19999999999999</v>
      </c>
      <c r="Q461" s="319">
        <f t="shared" si="385"/>
        <v>1128.1500000000001</v>
      </c>
      <c r="R461" s="9"/>
      <c r="S461" s="9"/>
      <c r="T461" s="9"/>
    </row>
    <row r="462" spans="1:20" ht="31.5" x14ac:dyDescent="0.2">
      <c r="A462" s="33">
        <f>IF(G462&lt;&gt;"",1+MAX($A$2:A461),"")</f>
        <v>282</v>
      </c>
      <c r="B462" s="384"/>
      <c r="C462" s="384"/>
      <c r="D462" s="160" t="s">
        <v>607</v>
      </c>
      <c r="E462" s="202" t="s">
        <v>32</v>
      </c>
      <c r="F462" s="37">
        <v>5</v>
      </c>
      <c r="G462" s="36">
        <v>0</v>
      </c>
      <c r="H462" s="37">
        <f t="shared" si="397"/>
        <v>5</v>
      </c>
      <c r="I462" s="133">
        <v>0.35</v>
      </c>
      <c r="J462" s="240">
        <f>$J$460</f>
        <v>78</v>
      </c>
      <c r="K462" s="195">
        <f t="shared" si="398"/>
        <v>27.299999999999997</v>
      </c>
      <c r="L462" s="195">
        <v>149</v>
      </c>
      <c r="M462" s="39">
        <f t="shared" si="399"/>
        <v>176.3</v>
      </c>
      <c r="N462" s="40">
        <f t="shared" si="400"/>
        <v>881.5</v>
      </c>
      <c r="O462" s="9"/>
      <c r="P462" s="318">
        <f t="shared" si="384"/>
        <v>136.5</v>
      </c>
      <c r="Q462" s="319">
        <f t="shared" si="385"/>
        <v>745</v>
      </c>
      <c r="R462" s="9"/>
      <c r="S462" s="9"/>
      <c r="T462" s="9"/>
    </row>
    <row r="463" spans="1:20" ht="31.5" x14ac:dyDescent="0.2">
      <c r="A463" s="33">
        <f>IF(G463&lt;&gt;"",1+MAX($A$2:A462),"")</f>
        <v>283</v>
      </c>
      <c r="B463" s="384"/>
      <c r="C463" s="384"/>
      <c r="D463" s="160" t="s">
        <v>608</v>
      </c>
      <c r="E463" s="202" t="s">
        <v>32</v>
      </c>
      <c r="F463" s="37">
        <v>5</v>
      </c>
      <c r="G463" s="36">
        <v>0</v>
      </c>
      <c r="H463" s="37">
        <f t="shared" si="397"/>
        <v>5</v>
      </c>
      <c r="I463" s="133">
        <v>0.435</v>
      </c>
      <c r="J463" s="240">
        <f>$J$460</f>
        <v>78</v>
      </c>
      <c r="K463" s="195">
        <f t="shared" si="398"/>
        <v>33.93</v>
      </c>
      <c r="L463" s="195">
        <v>476.85</v>
      </c>
      <c r="M463" s="39">
        <f t="shared" si="399"/>
        <v>510.78000000000003</v>
      </c>
      <c r="N463" s="40">
        <f t="shared" si="400"/>
        <v>2553.9</v>
      </c>
      <c r="O463" s="9"/>
      <c r="P463" s="318">
        <f t="shared" si="384"/>
        <v>169.65</v>
      </c>
      <c r="Q463" s="319">
        <f t="shared" si="385"/>
        <v>2384.25</v>
      </c>
      <c r="R463" s="9"/>
      <c r="S463" s="9"/>
      <c r="T463" s="9"/>
    </row>
    <row r="464" spans="1:20" ht="47.25" x14ac:dyDescent="0.2">
      <c r="A464" s="33">
        <f>IF(G464&lt;&gt;"",1+MAX($A$2:A463),"")</f>
        <v>284</v>
      </c>
      <c r="B464" s="385"/>
      <c r="C464" s="385"/>
      <c r="D464" s="160" t="s">
        <v>609</v>
      </c>
      <c r="E464" s="202" t="s">
        <v>32</v>
      </c>
      <c r="F464" s="37">
        <v>4</v>
      </c>
      <c r="G464" s="36">
        <v>0</v>
      </c>
      <c r="H464" s="37">
        <f t="shared" si="397"/>
        <v>4</v>
      </c>
      <c r="I464" s="133">
        <v>0.35</v>
      </c>
      <c r="J464" s="240">
        <f>$J$460</f>
        <v>78</v>
      </c>
      <c r="K464" s="195">
        <f t="shared" si="398"/>
        <v>27.299999999999997</v>
      </c>
      <c r="L464" s="195">
        <v>99.99</v>
      </c>
      <c r="M464" s="39">
        <f t="shared" si="399"/>
        <v>127.28999999999999</v>
      </c>
      <c r="N464" s="40">
        <f t="shared" si="400"/>
        <v>509.15999999999997</v>
      </c>
      <c r="O464" s="9"/>
      <c r="P464" s="318">
        <f t="shared" si="384"/>
        <v>109.19999999999999</v>
      </c>
      <c r="Q464" s="319">
        <f t="shared" si="385"/>
        <v>399.96</v>
      </c>
      <c r="R464" s="9"/>
      <c r="S464" s="9"/>
      <c r="T464" s="9"/>
    </row>
    <row r="465" spans="1:20" s="1" customFormat="1" ht="15" customHeight="1" x14ac:dyDescent="0.2">
      <c r="A465" s="42" t="str">
        <f>IF(G465&lt;&gt;"",1+MAX($A$2:A464),"")</f>
        <v/>
      </c>
      <c r="B465" s="43"/>
      <c r="C465" s="43"/>
      <c r="D465" s="43"/>
      <c r="E465" s="43"/>
      <c r="F465" s="43"/>
      <c r="G465" s="43"/>
      <c r="H465" s="43"/>
      <c r="I465" s="256"/>
      <c r="J465" s="241"/>
      <c r="K465" s="44"/>
      <c r="L465" s="44"/>
      <c r="M465" s="45" t="s">
        <v>22</v>
      </c>
      <c r="N465" s="46">
        <f>SUM(N460:N464)</f>
        <v>5403.6299999999992</v>
      </c>
      <c r="O465" s="4"/>
      <c r="P465" s="318">
        <f t="shared" si="384"/>
        <v>0</v>
      </c>
      <c r="Q465" s="319">
        <f t="shared" si="385"/>
        <v>0</v>
      </c>
      <c r="R465" s="4"/>
      <c r="S465" s="4"/>
      <c r="T465" s="4"/>
    </row>
    <row r="466" spans="1:20" ht="15.75" x14ac:dyDescent="0.2">
      <c r="A466" s="72" t="str">
        <f>IF(G466&lt;&gt;"",1+MAX($A$2:A465),"")</f>
        <v/>
      </c>
      <c r="B466" s="73"/>
      <c r="C466" s="73"/>
      <c r="D466" s="73"/>
      <c r="E466" s="74"/>
      <c r="F466" s="285"/>
      <c r="G466" s="75"/>
      <c r="H466" s="285"/>
      <c r="I466" s="286"/>
      <c r="J466" s="287"/>
      <c r="K466" s="76"/>
      <c r="L466" s="76"/>
      <c r="M466" s="288"/>
      <c r="N466" s="77"/>
      <c r="O466" s="9"/>
      <c r="P466" s="318">
        <f t="shared" si="384"/>
        <v>0</v>
      </c>
      <c r="Q466" s="319">
        <f t="shared" si="385"/>
        <v>0</v>
      </c>
      <c r="R466" s="9"/>
      <c r="S466" s="9"/>
      <c r="T466" s="9"/>
    </row>
    <row r="467" spans="1:20" s="1" customFormat="1" ht="18" customHeight="1" x14ac:dyDescent="0.2">
      <c r="A467" s="50" t="str">
        <f>IF(G467&lt;&gt;"",1+MAX($A$2:A466),"")</f>
        <v/>
      </c>
      <c r="B467" s="151"/>
      <c r="C467" s="151"/>
      <c r="D467" s="52"/>
      <c r="E467" s="53" t="s">
        <v>65</v>
      </c>
      <c r="F467" s="54"/>
      <c r="G467" s="54"/>
      <c r="H467" s="54"/>
      <c r="I467" s="167"/>
      <c r="J467" s="239"/>
      <c r="K467" s="54"/>
      <c r="L467" s="54"/>
      <c r="M467" s="55"/>
      <c r="N467" s="56"/>
      <c r="O467" s="9"/>
      <c r="P467" s="318">
        <f t="shared" si="384"/>
        <v>0</v>
      </c>
      <c r="Q467" s="319">
        <f t="shared" si="385"/>
        <v>0</v>
      </c>
      <c r="R467" s="9"/>
    </row>
    <row r="468" spans="1:20" ht="18" customHeight="1" x14ac:dyDescent="0.25">
      <c r="A468" s="84" t="str">
        <f>IF(G468&lt;&gt;"",1+MAX($A$2:A467),"")</f>
        <v/>
      </c>
      <c r="B468" s="145"/>
      <c r="C468" s="150"/>
      <c r="D468" s="226" t="s">
        <v>193</v>
      </c>
      <c r="E468" s="135"/>
      <c r="F468" s="64"/>
      <c r="G468" s="65"/>
      <c r="H468" s="37"/>
      <c r="I468" s="66"/>
      <c r="J468" s="242"/>
      <c r="K468" s="60"/>
      <c r="L468" s="60"/>
      <c r="M468" s="39"/>
      <c r="N468" s="41"/>
      <c r="O468" s="9"/>
      <c r="P468" s="318">
        <f t="shared" si="384"/>
        <v>0</v>
      </c>
      <c r="Q468" s="319">
        <f t="shared" si="385"/>
        <v>0</v>
      </c>
      <c r="R468" s="9"/>
    </row>
    <row r="469" spans="1:20" ht="18" customHeight="1" x14ac:dyDescent="0.25">
      <c r="A469" s="33">
        <f>IF(G469&lt;&gt;"",1+MAX($A$2:A468),"")</f>
        <v>285</v>
      </c>
      <c r="B469" s="146" t="s">
        <v>164</v>
      </c>
      <c r="C469" s="143" t="s">
        <v>194</v>
      </c>
      <c r="D469" s="138" t="s">
        <v>158</v>
      </c>
      <c r="E469" s="35" t="s">
        <v>7</v>
      </c>
      <c r="F469" s="37">
        <f>105.98+87</f>
        <v>192.98000000000002</v>
      </c>
      <c r="G469" s="36">
        <v>0.05</v>
      </c>
      <c r="H469" s="29">
        <f t="shared" ref="H469" si="401">(G469*F469)+F469</f>
        <v>202.62900000000002</v>
      </c>
      <c r="I469" s="133">
        <v>4.8000000000000001E-2</v>
      </c>
      <c r="J469" s="240">
        <v>48</v>
      </c>
      <c r="K469" s="38">
        <f t="shared" ref="K469" si="402">I469*J469</f>
        <v>2.3040000000000003</v>
      </c>
      <c r="L469" s="38">
        <v>1.1200000000000001</v>
      </c>
      <c r="M469" s="39">
        <f t="shared" ref="M469" si="403">K469+L469</f>
        <v>3.4240000000000004</v>
      </c>
      <c r="N469" s="40">
        <f t="shared" ref="N469" si="404">H469*M469</f>
        <v>693.80169600000011</v>
      </c>
      <c r="P469" s="318">
        <f t="shared" si="384"/>
        <v>466.85721600000011</v>
      </c>
      <c r="Q469" s="319">
        <f t="shared" si="385"/>
        <v>226.94448000000006</v>
      </c>
    </row>
    <row r="470" spans="1:20" ht="18" customHeight="1" x14ac:dyDescent="0.25">
      <c r="A470" s="84" t="str">
        <f>IF(G470&lt;&gt;"",1+MAX($A$2:A469),"")</f>
        <v/>
      </c>
      <c r="B470" s="173"/>
      <c r="C470" s="182"/>
      <c r="D470" s="226" t="s">
        <v>349</v>
      </c>
      <c r="E470" s="227"/>
      <c r="F470" s="64"/>
      <c r="G470" s="65"/>
      <c r="H470" s="37"/>
      <c r="I470" s="66"/>
      <c r="J470" s="242"/>
      <c r="K470" s="60"/>
      <c r="L470" s="60"/>
      <c r="M470" s="39"/>
      <c r="N470" s="41"/>
      <c r="O470" s="9"/>
      <c r="P470" s="318">
        <f t="shared" si="384"/>
        <v>0</v>
      </c>
      <c r="Q470" s="319">
        <f t="shared" si="385"/>
        <v>0</v>
      </c>
      <c r="R470" s="9"/>
      <c r="S470" s="9"/>
      <c r="T470" s="9"/>
    </row>
    <row r="471" spans="1:20" ht="15.6" customHeight="1" x14ac:dyDescent="0.2">
      <c r="A471" s="67" t="str">
        <f>IF(G471&lt;&gt;"",1+MAX($A$2:A470),"")</f>
        <v/>
      </c>
      <c r="B471" s="95"/>
      <c r="C471" s="34"/>
      <c r="D471" s="136" t="s">
        <v>350</v>
      </c>
      <c r="E471" s="86"/>
      <c r="F471" s="37"/>
      <c r="G471" s="36"/>
      <c r="H471" s="37"/>
      <c r="I471" s="169"/>
      <c r="J471" s="243"/>
      <c r="K471" s="38"/>
      <c r="L471" s="38"/>
      <c r="M471" s="39"/>
      <c r="N471" s="41"/>
      <c r="O471" s="9"/>
      <c r="P471" s="318">
        <f t="shared" si="384"/>
        <v>0</v>
      </c>
      <c r="Q471" s="319">
        <f t="shared" si="385"/>
        <v>0</v>
      </c>
      <c r="R471" s="9"/>
      <c r="S471" s="9"/>
      <c r="T471" s="9"/>
    </row>
    <row r="472" spans="1:20" ht="15.75" x14ac:dyDescent="0.2">
      <c r="A472" s="67">
        <f>IF(G472&lt;&gt;"",1+MAX($A$2:A471),"")</f>
        <v>286</v>
      </c>
      <c r="B472" s="154" t="s">
        <v>351</v>
      </c>
      <c r="C472" s="149" t="s">
        <v>352</v>
      </c>
      <c r="D472" s="27" t="s">
        <v>353</v>
      </c>
      <c r="E472" s="218" t="s">
        <v>34</v>
      </c>
      <c r="F472" s="37">
        <f>136.97</f>
        <v>136.97</v>
      </c>
      <c r="G472" s="36">
        <v>0.05</v>
      </c>
      <c r="H472" s="37">
        <f t="shared" ref="H472:H480" si="405">(G472*F472)+F472</f>
        <v>143.8185</v>
      </c>
      <c r="I472" s="133">
        <v>0.05</v>
      </c>
      <c r="J472" s="240">
        <f>$J$469</f>
        <v>48</v>
      </c>
      <c r="K472" s="38">
        <f>I472*J472</f>
        <v>2.4000000000000004</v>
      </c>
      <c r="L472" s="38">
        <v>1.25</v>
      </c>
      <c r="M472" s="39">
        <f>+L472+K472</f>
        <v>3.6500000000000004</v>
      </c>
      <c r="N472" s="41">
        <f t="shared" ref="N472:N480" si="406">H472*M472</f>
        <v>524.93752500000005</v>
      </c>
      <c r="O472" s="9"/>
      <c r="P472" s="318">
        <f t="shared" si="384"/>
        <v>345.16440000000006</v>
      </c>
      <c r="Q472" s="319">
        <f t="shared" si="385"/>
        <v>179.77312499999999</v>
      </c>
      <c r="R472" s="9"/>
      <c r="S472" s="9"/>
      <c r="T472" s="9"/>
    </row>
    <row r="473" spans="1:20" ht="15.6" customHeight="1" x14ac:dyDescent="0.2">
      <c r="A473" s="67" t="str">
        <f>IF(G473&lt;&gt;"",1+MAX($A$2:A472),"")</f>
        <v/>
      </c>
      <c r="B473" s="95"/>
      <c r="C473" s="34"/>
      <c r="D473" s="136" t="s">
        <v>354</v>
      </c>
      <c r="E473" s="86"/>
      <c r="F473" s="37"/>
      <c r="G473" s="36"/>
      <c r="H473" s="37"/>
      <c r="I473" s="169"/>
      <c r="J473" s="243"/>
      <c r="K473" s="38"/>
      <c r="L473" s="38"/>
      <c r="M473" s="39"/>
      <c r="N473" s="41"/>
      <c r="O473" s="9"/>
      <c r="P473" s="318">
        <f t="shared" si="384"/>
        <v>0</v>
      </c>
      <c r="Q473" s="319">
        <f t="shared" si="385"/>
        <v>0</v>
      </c>
      <c r="R473" s="9"/>
      <c r="S473" s="9"/>
      <c r="T473" s="9"/>
    </row>
    <row r="474" spans="1:20" ht="31.5" x14ac:dyDescent="0.2">
      <c r="A474" s="67">
        <f>IF(G474&lt;&gt;"",1+MAX($A$2:A473),"")</f>
        <v>287</v>
      </c>
      <c r="B474" s="345" t="s">
        <v>345</v>
      </c>
      <c r="C474" s="345" t="s">
        <v>355</v>
      </c>
      <c r="D474" s="160" t="s">
        <v>624</v>
      </c>
      <c r="E474" s="218" t="s">
        <v>34</v>
      </c>
      <c r="F474" s="37">
        <f>350</f>
        <v>350</v>
      </c>
      <c r="G474" s="36">
        <v>0.05</v>
      </c>
      <c r="H474" s="37">
        <f t="shared" ref="H474:H476" si="407">(G474*F474)+F474</f>
        <v>367.5</v>
      </c>
      <c r="I474" s="133">
        <v>6.5000000000000002E-2</v>
      </c>
      <c r="J474" s="240">
        <f t="shared" ref="J474:J476" si="408">$J$469</f>
        <v>48</v>
      </c>
      <c r="K474" s="38">
        <f>I474*J474</f>
        <v>3.12</v>
      </c>
      <c r="L474" s="38">
        <v>3.99</v>
      </c>
      <c r="M474" s="39">
        <f>+L474+K474</f>
        <v>7.11</v>
      </c>
      <c r="N474" s="41">
        <f t="shared" ref="N474:N476" si="409">H474*M474</f>
        <v>2612.9250000000002</v>
      </c>
      <c r="O474" s="9"/>
      <c r="P474" s="318">
        <f t="shared" si="384"/>
        <v>1146.6000000000001</v>
      </c>
      <c r="Q474" s="319">
        <f t="shared" si="385"/>
        <v>1466.325</v>
      </c>
      <c r="R474" s="9"/>
      <c r="S474" s="9"/>
      <c r="T474" s="9"/>
    </row>
    <row r="475" spans="1:20" ht="15.75" x14ac:dyDescent="0.2">
      <c r="A475" s="67">
        <f>IF(G475&lt;&gt;"",1+MAX($A$2:A474),"")</f>
        <v>288</v>
      </c>
      <c r="B475" s="346"/>
      <c r="C475" s="346"/>
      <c r="D475" s="27" t="s">
        <v>356</v>
      </c>
      <c r="E475" s="218" t="s">
        <v>32</v>
      </c>
      <c r="F475" s="37">
        <f>350/10</f>
        <v>35</v>
      </c>
      <c r="G475" s="36">
        <v>0</v>
      </c>
      <c r="H475" s="37">
        <f t="shared" si="407"/>
        <v>35</v>
      </c>
      <c r="I475" s="133">
        <v>0.38</v>
      </c>
      <c r="J475" s="240">
        <f t="shared" si="408"/>
        <v>48</v>
      </c>
      <c r="K475" s="38">
        <f>I475*J475</f>
        <v>18.240000000000002</v>
      </c>
      <c r="L475" s="38">
        <v>51.22</v>
      </c>
      <c r="M475" s="39">
        <f>+L475+K475</f>
        <v>69.460000000000008</v>
      </c>
      <c r="N475" s="41">
        <f t="shared" si="409"/>
        <v>2431.1000000000004</v>
      </c>
      <c r="O475" s="9"/>
      <c r="P475" s="318">
        <f t="shared" si="384"/>
        <v>638.40000000000009</v>
      </c>
      <c r="Q475" s="319">
        <f t="shared" si="385"/>
        <v>1792.7</v>
      </c>
      <c r="R475" s="9"/>
      <c r="S475" s="9"/>
      <c r="T475" s="9"/>
    </row>
    <row r="476" spans="1:20" ht="15.75" x14ac:dyDescent="0.2">
      <c r="A476" s="67">
        <f>IF(G476&lt;&gt;"",1+MAX($A$2:A475),"")</f>
        <v>289</v>
      </c>
      <c r="B476" s="347"/>
      <c r="C476" s="347"/>
      <c r="D476" s="27" t="s">
        <v>357</v>
      </c>
      <c r="E476" s="218" t="s">
        <v>32</v>
      </c>
      <c r="F476" s="37">
        <f>350/30</f>
        <v>11.666666666666666</v>
      </c>
      <c r="G476" s="36">
        <v>0</v>
      </c>
      <c r="H476" s="37">
        <f t="shared" si="407"/>
        <v>11.666666666666666</v>
      </c>
      <c r="I476" s="133">
        <v>0.29499999999999998</v>
      </c>
      <c r="J476" s="240">
        <f t="shared" si="408"/>
        <v>48</v>
      </c>
      <c r="K476" s="38">
        <f>I476*J476</f>
        <v>14.16</v>
      </c>
      <c r="L476" s="38">
        <v>22.95</v>
      </c>
      <c r="M476" s="39">
        <f>+L476+K476</f>
        <v>37.11</v>
      </c>
      <c r="N476" s="41">
        <f t="shared" si="409"/>
        <v>432.95</v>
      </c>
      <c r="O476" s="9"/>
      <c r="P476" s="318">
        <f t="shared" si="384"/>
        <v>165.2</v>
      </c>
      <c r="Q476" s="319">
        <f t="shared" si="385"/>
        <v>267.75</v>
      </c>
      <c r="R476" s="9"/>
      <c r="S476" s="9"/>
      <c r="T476" s="9"/>
    </row>
    <row r="477" spans="1:20" ht="15.6" customHeight="1" x14ac:dyDescent="0.2">
      <c r="A477" s="67" t="str">
        <f>IF(G477&lt;&gt;"",1+MAX($A$2:A476),"")</f>
        <v/>
      </c>
      <c r="B477" s="95"/>
      <c r="C477" s="34"/>
      <c r="D477" s="136" t="s">
        <v>358</v>
      </c>
      <c r="E477" s="86"/>
      <c r="F477" s="37"/>
      <c r="G477" s="36"/>
      <c r="H477" s="37"/>
      <c r="I477" s="169"/>
      <c r="J477" s="243"/>
      <c r="K477" s="38"/>
      <c r="L477" s="38"/>
      <c r="M477" s="39"/>
      <c r="N477" s="41"/>
      <c r="O477" s="9"/>
      <c r="P477" s="318">
        <f t="shared" si="384"/>
        <v>0</v>
      </c>
      <c r="Q477" s="319">
        <f t="shared" si="385"/>
        <v>0</v>
      </c>
      <c r="R477" s="9"/>
      <c r="S477" s="9"/>
      <c r="T477" s="9"/>
    </row>
    <row r="478" spans="1:20" ht="15.75" x14ac:dyDescent="0.2">
      <c r="A478" s="67">
        <f>IF(G478&lt;&gt;"",1+MAX($A$2:A477),"")</f>
        <v>290</v>
      </c>
      <c r="B478" s="345" t="s">
        <v>351</v>
      </c>
      <c r="C478" s="345" t="s">
        <v>352</v>
      </c>
      <c r="D478" s="27" t="s">
        <v>359</v>
      </c>
      <c r="E478" s="35" t="s">
        <v>7</v>
      </c>
      <c r="F478" s="37">
        <v>79.19</v>
      </c>
      <c r="G478" s="36">
        <v>0.05</v>
      </c>
      <c r="H478" s="37">
        <f t="shared" si="405"/>
        <v>83.149500000000003</v>
      </c>
      <c r="I478" s="133">
        <v>1.4999999999999999E-2</v>
      </c>
      <c r="J478" s="240">
        <f t="shared" ref="J478:J480" si="410">$J$469</f>
        <v>48</v>
      </c>
      <c r="K478" s="38">
        <f>I478*J478</f>
        <v>0.72</v>
      </c>
      <c r="L478" s="38">
        <v>1.55</v>
      </c>
      <c r="M478" s="39">
        <f>+L478+K478</f>
        <v>2.27</v>
      </c>
      <c r="N478" s="41">
        <f t="shared" si="406"/>
        <v>188.74936500000001</v>
      </c>
      <c r="O478" s="9"/>
      <c r="P478" s="318">
        <f t="shared" si="384"/>
        <v>59.867640000000002</v>
      </c>
      <c r="Q478" s="319">
        <f t="shared" si="385"/>
        <v>128.88172500000002</v>
      </c>
      <c r="R478" s="9"/>
      <c r="S478" s="9"/>
      <c r="T478" s="9"/>
    </row>
    <row r="479" spans="1:20" ht="15.75" x14ac:dyDescent="0.2">
      <c r="A479" s="67">
        <f>IF(G479&lt;&gt;"",1+MAX($A$2:A478),"")</f>
        <v>291</v>
      </c>
      <c r="B479" s="347"/>
      <c r="C479" s="346"/>
      <c r="D479" s="27" t="s">
        <v>360</v>
      </c>
      <c r="E479" s="35" t="s">
        <v>7</v>
      </c>
      <c r="F479" s="37">
        <v>79.19</v>
      </c>
      <c r="G479" s="36">
        <v>0.05</v>
      </c>
      <c r="H479" s="37">
        <f t="shared" si="405"/>
        <v>83.149500000000003</v>
      </c>
      <c r="I479" s="133">
        <v>1.2999999999999999E-2</v>
      </c>
      <c r="J479" s="240">
        <f t="shared" si="410"/>
        <v>48</v>
      </c>
      <c r="K479" s="38">
        <f>I479*J479</f>
        <v>0.624</v>
      </c>
      <c r="L479" s="38">
        <v>0.35</v>
      </c>
      <c r="M479" s="39">
        <f>+L479+K479</f>
        <v>0.97399999999999998</v>
      </c>
      <c r="N479" s="41">
        <f t="shared" si="406"/>
        <v>80.987612999999996</v>
      </c>
      <c r="O479" s="9"/>
      <c r="P479" s="318">
        <f t="shared" si="384"/>
        <v>51.885288000000003</v>
      </c>
      <c r="Q479" s="319">
        <f t="shared" si="385"/>
        <v>29.102325</v>
      </c>
      <c r="R479" s="9"/>
      <c r="S479" s="9"/>
      <c r="T479" s="9"/>
    </row>
    <row r="480" spans="1:20" ht="15.75" x14ac:dyDescent="0.2">
      <c r="A480" s="67">
        <f>IF(G480&lt;&gt;"",1+MAX($A$2:A479),"")</f>
        <v>292</v>
      </c>
      <c r="B480" s="154"/>
      <c r="C480" s="347"/>
      <c r="D480" s="27" t="s">
        <v>361</v>
      </c>
      <c r="E480" s="35" t="s">
        <v>7</v>
      </c>
      <c r="F480" s="37">
        <v>79.19</v>
      </c>
      <c r="G480" s="36">
        <v>0.05</v>
      </c>
      <c r="H480" s="37">
        <f t="shared" si="405"/>
        <v>83.149500000000003</v>
      </c>
      <c r="I480" s="133">
        <v>4.4999999999999998E-2</v>
      </c>
      <c r="J480" s="240">
        <f t="shared" si="410"/>
        <v>48</v>
      </c>
      <c r="K480" s="38">
        <f>I480*J480</f>
        <v>2.16</v>
      </c>
      <c r="L480" s="38">
        <v>0.98</v>
      </c>
      <c r="M480" s="39">
        <f>+L480+K480</f>
        <v>3.14</v>
      </c>
      <c r="N480" s="41">
        <f t="shared" si="406"/>
        <v>261.08942999999999</v>
      </c>
      <c r="O480" s="9"/>
      <c r="P480" s="318">
        <f t="shared" si="384"/>
        <v>179.60292000000001</v>
      </c>
      <c r="Q480" s="319">
        <f t="shared" si="385"/>
        <v>81.486509999999996</v>
      </c>
      <c r="R480" s="9"/>
      <c r="S480" s="9"/>
      <c r="T480" s="9"/>
    </row>
    <row r="481" spans="1:20" ht="18" customHeight="1" x14ac:dyDescent="0.25">
      <c r="A481" s="84" t="str">
        <f>IF(G481&lt;&gt;"",1+MAX($A$2:A480),"")</f>
        <v/>
      </c>
      <c r="B481" s="173"/>
      <c r="C481" s="182"/>
      <c r="D481" s="226" t="s">
        <v>362</v>
      </c>
      <c r="E481" s="227"/>
      <c r="F481" s="64"/>
      <c r="G481" s="65"/>
      <c r="H481" s="37"/>
      <c r="I481" s="66"/>
      <c r="J481" s="242"/>
      <c r="K481" s="60"/>
      <c r="L481" s="60"/>
      <c r="M481" s="39"/>
      <c r="N481" s="41"/>
      <c r="O481" s="9"/>
      <c r="P481" s="318">
        <f t="shared" si="384"/>
        <v>0</v>
      </c>
      <c r="Q481" s="319">
        <f t="shared" si="385"/>
        <v>0</v>
      </c>
      <c r="R481" s="9"/>
      <c r="S481" s="9"/>
      <c r="T481" s="9"/>
    </row>
    <row r="482" spans="1:20" ht="15.75" x14ac:dyDescent="0.2">
      <c r="A482" s="67">
        <f>IF(G482&lt;&gt;"",1+MAX($A$2:A481),"")</f>
        <v>293</v>
      </c>
      <c r="B482" s="345" t="s">
        <v>351</v>
      </c>
      <c r="C482" s="345" t="s">
        <v>152</v>
      </c>
      <c r="D482" s="27" t="s">
        <v>363</v>
      </c>
      <c r="E482" s="218" t="s">
        <v>43</v>
      </c>
      <c r="F482" s="37">
        <v>11.62</v>
      </c>
      <c r="G482" s="36">
        <v>0.05</v>
      </c>
      <c r="H482" s="37">
        <f t="shared" ref="H482:H484" si="411">(G482*F482)+F482</f>
        <v>12.200999999999999</v>
      </c>
      <c r="I482" s="133">
        <v>1.1000000000000001</v>
      </c>
      <c r="J482" s="240">
        <f t="shared" ref="J482:J484" si="412">$J$469</f>
        <v>48</v>
      </c>
      <c r="K482" s="38">
        <f>I482*J482</f>
        <v>52.800000000000004</v>
      </c>
      <c r="L482" s="38">
        <v>0</v>
      </c>
      <c r="M482" s="39">
        <f>+L482+K482</f>
        <v>52.800000000000004</v>
      </c>
      <c r="N482" s="41">
        <f t="shared" ref="N482:N484" si="413">H482*M482</f>
        <v>644.21280000000002</v>
      </c>
      <c r="O482" s="9"/>
      <c r="P482" s="318">
        <f t="shared" si="384"/>
        <v>644.21280000000002</v>
      </c>
      <c r="Q482" s="319">
        <f t="shared" si="385"/>
        <v>0</v>
      </c>
      <c r="R482" s="9"/>
      <c r="S482" s="9"/>
      <c r="T482" s="9"/>
    </row>
    <row r="483" spans="1:20" ht="15.75" x14ac:dyDescent="0.2">
      <c r="A483" s="67">
        <f>IF(G483&lt;&gt;"",1+MAX($A$2:A482),"")</f>
        <v>294</v>
      </c>
      <c r="B483" s="346"/>
      <c r="C483" s="346"/>
      <c r="D483" s="27" t="s">
        <v>364</v>
      </c>
      <c r="E483" s="218" t="s">
        <v>43</v>
      </c>
      <c r="F483" s="37">
        <v>6.26</v>
      </c>
      <c r="G483" s="36">
        <v>0.05</v>
      </c>
      <c r="H483" s="37">
        <f t="shared" si="411"/>
        <v>6.5729999999999995</v>
      </c>
      <c r="I483" s="133">
        <v>0.78</v>
      </c>
      <c r="J483" s="240">
        <f t="shared" si="412"/>
        <v>48</v>
      </c>
      <c r="K483" s="38">
        <f>I483*J483</f>
        <v>37.44</v>
      </c>
      <c r="L483" s="38">
        <v>0</v>
      </c>
      <c r="M483" s="39">
        <f>+L483+K483</f>
        <v>37.44</v>
      </c>
      <c r="N483" s="41">
        <f t="shared" si="413"/>
        <v>246.09311999999997</v>
      </c>
      <c r="O483" s="9"/>
      <c r="P483" s="318">
        <f t="shared" si="384"/>
        <v>246.09311999999997</v>
      </c>
      <c r="Q483" s="319">
        <f t="shared" si="385"/>
        <v>0</v>
      </c>
      <c r="R483" s="9"/>
      <c r="S483" s="9"/>
      <c r="T483" s="9"/>
    </row>
    <row r="484" spans="1:20" ht="15.75" x14ac:dyDescent="0.2">
      <c r="A484" s="67">
        <f>IF(G484&lt;&gt;"",1+MAX($A$2:A483),"")</f>
        <v>295</v>
      </c>
      <c r="B484" s="347"/>
      <c r="C484" s="347"/>
      <c r="D484" s="27" t="s">
        <v>365</v>
      </c>
      <c r="E484" s="218" t="s">
        <v>43</v>
      </c>
      <c r="F484" s="37">
        <f>F482-F483</f>
        <v>5.3599999999999994</v>
      </c>
      <c r="G484" s="36">
        <v>0.05</v>
      </c>
      <c r="H484" s="37">
        <f t="shared" si="411"/>
        <v>5.6279999999999992</v>
      </c>
      <c r="I484" s="133">
        <v>0</v>
      </c>
      <c r="J484" s="240">
        <f t="shared" si="412"/>
        <v>48</v>
      </c>
      <c r="K484" s="38">
        <f>I484*J484</f>
        <v>0</v>
      </c>
      <c r="L484" s="38">
        <v>0</v>
      </c>
      <c r="M484" s="39">
        <f>+L484+K484</f>
        <v>0</v>
      </c>
      <c r="N484" s="41">
        <f t="shared" si="413"/>
        <v>0</v>
      </c>
      <c r="O484" s="9"/>
      <c r="P484" s="318">
        <f t="shared" si="384"/>
        <v>0</v>
      </c>
      <c r="Q484" s="319">
        <f t="shared" si="385"/>
        <v>0</v>
      </c>
      <c r="R484" s="9"/>
      <c r="S484" s="9"/>
      <c r="T484" s="9"/>
    </row>
    <row r="485" spans="1:20" s="1" customFormat="1" ht="15" customHeight="1" x14ac:dyDescent="0.2">
      <c r="A485" s="42" t="str">
        <f>IF(G485&lt;&gt;"",1+MAX($A$2:A484),"")</f>
        <v/>
      </c>
      <c r="B485" s="152"/>
      <c r="C485" s="152"/>
      <c r="D485" s="43"/>
      <c r="E485" s="43"/>
      <c r="F485" s="43"/>
      <c r="G485" s="43"/>
      <c r="H485" s="43"/>
      <c r="I485" s="256"/>
      <c r="J485" s="241"/>
      <c r="K485" s="44"/>
      <c r="L485" s="44"/>
      <c r="M485" s="45" t="s">
        <v>22</v>
      </c>
      <c r="N485" s="46">
        <f>SUM(N468:N484)</f>
        <v>8116.8465490000008</v>
      </c>
      <c r="O485" s="4"/>
      <c r="P485" s="318">
        <f t="shared" si="384"/>
        <v>0</v>
      </c>
      <c r="Q485" s="319">
        <f t="shared" si="385"/>
        <v>0</v>
      </c>
      <c r="R485" s="4"/>
    </row>
    <row r="486" spans="1:20" ht="15.75" x14ac:dyDescent="0.2">
      <c r="A486" s="72" t="str">
        <f>IF(G486&lt;&gt;"",1+MAX($A$2:A485),"")</f>
        <v/>
      </c>
      <c r="B486" s="153"/>
      <c r="C486" s="153"/>
      <c r="D486" s="73"/>
      <c r="E486" s="74"/>
      <c r="F486" s="285"/>
      <c r="G486" s="75"/>
      <c r="H486" s="285"/>
      <c r="I486" s="286"/>
      <c r="J486" s="287"/>
      <c r="K486" s="76"/>
      <c r="L486" s="76"/>
      <c r="M486" s="288"/>
      <c r="N486" s="77"/>
      <c r="O486" s="9"/>
      <c r="P486" s="318">
        <f t="shared" si="384"/>
        <v>0</v>
      </c>
      <c r="Q486" s="319">
        <f t="shared" si="385"/>
        <v>0</v>
      </c>
      <c r="R486" s="9"/>
    </row>
    <row r="487" spans="1:20" ht="18" customHeight="1" x14ac:dyDescent="0.2">
      <c r="A487" s="50" t="str">
        <f>IF(G487&lt;&gt;"",1+MAX($A$2:A486),"")</f>
        <v/>
      </c>
      <c r="B487" s="183"/>
      <c r="C487" s="55"/>
      <c r="D487" s="52"/>
      <c r="E487" s="53" t="s">
        <v>66</v>
      </c>
      <c r="F487" s="184"/>
      <c r="G487" s="54"/>
      <c r="H487" s="54"/>
      <c r="I487" s="167"/>
      <c r="J487" s="239"/>
      <c r="K487" s="54"/>
      <c r="L487" s="54"/>
      <c r="M487" s="55"/>
      <c r="N487" s="56"/>
      <c r="O487" s="9"/>
      <c r="P487" s="318">
        <f t="shared" si="384"/>
        <v>0</v>
      </c>
      <c r="Q487" s="319">
        <f t="shared" si="385"/>
        <v>0</v>
      </c>
      <c r="R487" s="9"/>
      <c r="S487" s="9"/>
      <c r="T487" s="9"/>
    </row>
    <row r="488" spans="1:20" ht="18" customHeight="1" x14ac:dyDescent="0.25">
      <c r="A488" s="84" t="str">
        <f>IF(G488&lt;&gt;"",1+MAX($A$2:A487),"")</f>
        <v/>
      </c>
      <c r="B488" s="173"/>
      <c r="C488" s="182"/>
      <c r="D488" s="226" t="s">
        <v>366</v>
      </c>
      <c r="E488" s="227"/>
      <c r="F488" s="64"/>
      <c r="G488" s="65"/>
      <c r="H488" s="37"/>
      <c r="I488" s="66"/>
      <c r="J488" s="242"/>
      <c r="K488" s="60"/>
      <c r="L488" s="60"/>
      <c r="M488" s="39"/>
      <c r="N488" s="41"/>
      <c r="O488" s="9"/>
      <c r="P488" s="318">
        <f t="shared" si="384"/>
        <v>0</v>
      </c>
      <c r="Q488" s="319">
        <f t="shared" si="385"/>
        <v>0</v>
      </c>
      <c r="R488" s="9"/>
      <c r="S488" s="9"/>
      <c r="T488" s="9"/>
    </row>
    <row r="489" spans="1:20" ht="15.75" x14ac:dyDescent="0.2">
      <c r="A489" s="67">
        <f>IF(G489&lt;&gt;"",1+MAX($A$2:A488),"")</f>
        <v>296</v>
      </c>
      <c r="B489" s="154" t="s">
        <v>367</v>
      </c>
      <c r="C489" s="149" t="s">
        <v>368</v>
      </c>
      <c r="D489" s="329" t="s">
        <v>369</v>
      </c>
      <c r="E489" s="218" t="s">
        <v>7</v>
      </c>
      <c r="F489" s="37">
        <v>876.5</v>
      </c>
      <c r="G489" s="36">
        <v>0.05</v>
      </c>
      <c r="H489" s="37">
        <f>(G489*F489)+F489</f>
        <v>920.32500000000005</v>
      </c>
      <c r="I489" s="133">
        <v>2.1999999999999999E-2</v>
      </c>
      <c r="J489" s="240">
        <v>50</v>
      </c>
      <c r="K489" s="38">
        <f>I489*J489</f>
        <v>1.0999999999999999</v>
      </c>
      <c r="L489" s="38">
        <v>3.85</v>
      </c>
      <c r="M489" s="39">
        <f>+L489+K489</f>
        <v>4.95</v>
      </c>
      <c r="N489" s="41">
        <f>H489*M489</f>
        <v>4555.6087500000003</v>
      </c>
      <c r="O489" s="9"/>
      <c r="P489" s="318">
        <f t="shared" si="384"/>
        <v>1012.3575</v>
      </c>
      <c r="Q489" s="319">
        <f t="shared" si="385"/>
        <v>3543.2512500000003</v>
      </c>
      <c r="R489" s="9"/>
      <c r="S489" s="9"/>
      <c r="T489" s="9"/>
    </row>
    <row r="490" spans="1:20" ht="18" customHeight="1" x14ac:dyDescent="0.25">
      <c r="A490" s="84" t="str">
        <f>IF(G490&lt;&gt;"",1+MAX($A$2:A489),"")</f>
        <v/>
      </c>
      <c r="B490" s="173"/>
      <c r="C490" s="182"/>
      <c r="D490" s="226" t="s">
        <v>370</v>
      </c>
      <c r="E490" s="227"/>
      <c r="F490" s="64"/>
      <c r="G490" s="65"/>
      <c r="H490" s="37"/>
      <c r="I490" s="66"/>
      <c r="J490" s="242"/>
      <c r="K490" s="60"/>
      <c r="L490" s="60"/>
      <c r="M490" s="39"/>
      <c r="N490" s="41"/>
      <c r="O490" s="9"/>
      <c r="P490" s="318">
        <f t="shared" si="384"/>
        <v>0</v>
      </c>
      <c r="Q490" s="319">
        <f t="shared" si="385"/>
        <v>0</v>
      </c>
      <c r="R490" s="9"/>
      <c r="S490" s="9"/>
      <c r="T490" s="9"/>
    </row>
    <row r="491" spans="1:20" ht="31.5" customHeight="1" x14ac:dyDescent="0.2">
      <c r="A491" s="67">
        <f>IF(G491&lt;&gt;"",1+MAX($A$2:A490),"")</f>
        <v>297</v>
      </c>
      <c r="B491" s="345" t="s">
        <v>371</v>
      </c>
      <c r="C491" s="345" t="s">
        <v>368</v>
      </c>
      <c r="D491" s="160" t="s">
        <v>372</v>
      </c>
      <c r="E491" s="218" t="s">
        <v>43</v>
      </c>
      <c r="F491" s="37">
        <v>9</v>
      </c>
      <c r="G491" s="36">
        <v>0.05</v>
      </c>
      <c r="H491" s="37">
        <f>(G491*F491)+F491</f>
        <v>9.4499999999999993</v>
      </c>
      <c r="I491" s="133">
        <v>2.88</v>
      </c>
      <c r="J491" s="240">
        <v>50</v>
      </c>
      <c r="K491" s="38">
        <f>I491*J491</f>
        <v>144</v>
      </c>
      <c r="L491" s="38">
        <v>225</v>
      </c>
      <c r="M491" s="39">
        <f>+L491+K491</f>
        <v>369</v>
      </c>
      <c r="N491" s="41">
        <f>H491*M491</f>
        <v>3487.0499999999997</v>
      </c>
      <c r="O491" s="9"/>
      <c r="P491" s="318">
        <f t="shared" si="384"/>
        <v>1360.8</v>
      </c>
      <c r="Q491" s="319">
        <f t="shared" si="385"/>
        <v>2126.25</v>
      </c>
      <c r="R491" s="9"/>
      <c r="S491" s="9"/>
      <c r="T491" s="9"/>
    </row>
    <row r="492" spans="1:20" ht="47.25" x14ac:dyDescent="0.2">
      <c r="A492" s="67">
        <f>IF(G492&lt;&gt;"",1+MAX($A$2:A491),"")</f>
        <v>298</v>
      </c>
      <c r="B492" s="346"/>
      <c r="C492" s="346"/>
      <c r="D492" s="160" t="s">
        <v>373</v>
      </c>
      <c r="E492" s="218" t="s">
        <v>34</v>
      </c>
      <c r="F492" s="37">
        <f>759/6</f>
        <v>126.5</v>
      </c>
      <c r="G492" s="36">
        <v>0.05</v>
      </c>
      <c r="H492" s="37">
        <f>(G492*F492)+F492</f>
        <v>132.82499999999999</v>
      </c>
      <c r="I492" s="133">
        <v>1.2E-2</v>
      </c>
      <c r="J492" s="240">
        <f>$J$491</f>
        <v>50</v>
      </c>
      <c r="K492" s="38">
        <f>I492*J492</f>
        <v>0.6</v>
      </c>
      <c r="L492" s="38">
        <v>3.28</v>
      </c>
      <c r="M492" s="39">
        <f>+L492+K492</f>
        <v>3.88</v>
      </c>
      <c r="N492" s="41">
        <f>H492*M492</f>
        <v>515.36099999999999</v>
      </c>
      <c r="O492" s="9"/>
      <c r="P492" s="318">
        <f t="shared" si="384"/>
        <v>79.694999999999993</v>
      </c>
      <c r="Q492" s="319">
        <f t="shared" si="385"/>
        <v>435.66599999999994</v>
      </c>
      <c r="R492" s="9"/>
      <c r="S492" s="9"/>
      <c r="T492" s="9"/>
    </row>
    <row r="493" spans="1:20" ht="31.5" x14ac:dyDescent="0.2">
      <c r="A493" s="67">
        <f>IF(G493&lt;&gt;"",1+MAX($A$2:A492),"")</f>
        <v>299</v>
      </c>
      <c r="B493" s="347"/>
      <c r="C493" s="347"/>
      <c r="D493" s="160" t="s">
        <v>374</v>
      </c>
      <c r="E493" s="218" t="s">
        <v>43</v>
      </c>
      <c r="F493" s="37">
        <f>(39*0.67)/27</f>
        <v>0.96777777777777785</v>
      </c>
      <c r="G493" s="36">
        <v>0.05</v>
      </c>
      <c r="H493" s="37">
        <f>(G493*F493)+F493</f>
        <v>1.0161666666666667</v>
      </c>
      <c r="I493" s="133">
        <v>2.88</v>
      </c>
      <c r="J493" s="240">
        <f>$J$491</f>
        <v>50</v>
      </c>
      <c r="K493" s="38">
        <f>I493*J493</f>
        <v>144</v>
      </c>
      <c r="L493" s="38">
        <v>225</v>
      </c>
      <c r="M493" s="39">
        <f>+L493+K493</f>
        <v>369</v>
      </c>
      <c r="N493" s="41">
        <f>H493*M493</f>
        <v>374.96550000000002</v>
      </c>
      <c r="O493" s="9"/>
      <c r="P493" s="318">
        <f t="shared" si="384"/>
        <v>146.328</v>
      </c>
      <c r="Q493" s="319">
        <f t="shared" si="385"/>
        <v>228.63749999999999</v>
      </c>
      <c r="R493" s="9"/>
      <c r="S493" s="9"/>
      <c r="T493" s="9"/>
    </row>
    <row r="494" spans="1:20" ht="18" customHeight="1" x14ac:dyDescent="0.25">
      <c r="A494" s="84" t="str">
        <f>IF(G494&lt;&gt;"",1+MAX($A$2:A493),"")</f>
        <v/>
      </c>
      <c r="B494" s="173"/>
      <c r="C494" s="182"/>
      <c r="D494" s="226" t="s">
        <v>375</v>
      </c>
      <c r="E494" s="227"/>
      <c r="F494" s="64"/>
      <c r="G494" s="65"/>
      <c r="H494" s="37"/>
      <c r="I494" s="66"/>
      <c r="J494" s="242"/>
      <c r="K494" s="60"/>
      <c r="L494" s="60"/>
      <c r="M494" s="39"/>
      <c r="N494" s="41"/>
      <c r="O494" s="9"/>
      <c r="P494" s="318">
        <f t="shared" si="384"/>
        <v>0</v>
      </c>
      <c r="Q494" s="319">
        <f t="shared" si="385"/>
        <v>0</v>
      </c>
      <c r="R494" s="9"/>
      <c r="S494" s="9"/>
      <c r="T494" s="9"/>
    </row>
    <row r="495" spans="1:20" ht="31.5" x14ac:dyDescent="0.2">
      <c r="A495" s="67">
        <f>IF(G495&lt;&gt;"",1+MAX($A$2:A494),"")</f>
        <v>300</v>
      </c>
      <c r="B495" s="154" t="s">
        <v>367</v>
      </c>
      <c r="C495" s="149" t="s">
        <v>368</v>
      </c>
      <c r="D495" s="160" t="s">
        <v>376</v>
      </c>
      <c r="E495" s="218" t="s">
        <v>7</v>
      </c>
      <c r="F495" s="37">
        <v>153.15</v>
      </c>
      <c r="G495" s="36">
        <v>0.05</v>
      </c>
      <c r="H495" s="37">
        <f>(G495*F495)+F495</f>
        <v>160.8075</v>
      </c>
      <c r="I495" s="133">
        <v>4.2000000000000003E-2</v>
      </c>
      <c r="J495" s="240">
        <f>$J$491</f>
        <v>50</v>
      </c>
      <c r="K495" s="38">
        <f>I495*J495</f>
        <v>2.1</v>
      </c>
      <c r="L495" s="38">
        <v>2.85</v>
      </c>
      <c r="M495" s="39">
        <f>+L495+K495</f>
        <v>4.95</v>
      </c>
      <c r="N495" s="41">
        <f>H495*M495</f>
        <v>795.9971250000001</v>
      </c>
      <c r="O495" s="9"/>
      <c r="P495" s="318">
        <f t="shared" si="384"/>
        <v>337.69575000000003</v>
      </c>
      <c r="Q495" s="319">
        <f t="shared" si="385"/>
        <v>458.30137500000001</v>
      </c>
      <c r="R495" s="9"/>
      <c r="S495" s="9"/>
      <c r="T495" s="9"/>
    </row>
    <row r="496" spans="1:20" ht="18" customHeight="1" x14ac:dyDescent="0.25">
      <c r="A496" s="84" t="str">
        <f>IF(G496&lt;&gt;"",1+MAX($A$2:A495),"")</f>
        <v/>
      </c>
      <c r="B496" s="173"/>
      <c r="C496" s="182"/>
      <c r="D496" s="226" t="s">
        <v>377</v>
      </c>
      <c r="E496" s="227"/>
      <c r="F496" s="64"/>
      <c r="G496" s="65"/>
      <c r="H496" s="37"/>
      <c r="I496" s="66"/>
      <c r="J496" s="242"/>
      <c r="K496" s="60"/>
      <c r="L496" s="60"/>
      <c r="M496" s="39"/>
      <c r="N496" s="41"/>
      <c r="O496" s="9"/>
      <c r="P496" s="318">
        <f t="shared" si="384"/>
        <v>0</v>
      </c>
      <c r="Q496" s="319">
        <f t="shared" si="385"/>
        <v>0</v>
      </c>
      <c r="R496" s="9"/>
      <c r="S496" s="9"/>
      <c r="T496" s="9"/>
    </row>
    <row r="497" spans="1:20" ht="15.75" x14ac:dyDescent="0.2">
      <c r="A497" s="67">
        <f>IF(G497&lt;&gt;"",1+MAX($A$2:A496),"")</f>
        <v>301</v>
      </c>
      <c r="B497" s="345" t="s">
        <v>367</v>
      </c>
      <c r="C497" s="345" t="s">
        <v>378</v>
      </c>
      <c r="D497" s="160" t="s">
        <v>379</v>
      </c>
      <c r="E497" s="218" t="s">
        <v>43</v>
      </c>
      <c r="F497" s="37">
        <f>(322*0.4167)/27</f>
        <v>4.9695333333333336</v>
      </c>
      <c r="G497" s="36">
        <v>0.05</v>
      </c>
      <c r="H497" s="37">
        <f>(G497*F497)+F497</f>
        <v>5.2180100000000005</v>
      </c>
      <c r="I497" s="133">
        <v>2.85</v>
      </c>
      <c r="J497" s="240">
        <f t="shared" ref="J497:J501" si="414">$J$491</f>
        <v>50</v>
      </c>
      <c r="K497" s="38">
        <f>I497*J497</f>
        <v>142.5</v>
      </c>
      <c r="L497" s="38">
        <v>175</v>
      </c>
      <c r="M497" s="39">
        <f>+L497+K497</f>
        <v>317.5</v>
      </c>
      <c r="N497" s="41">
        <f>H497*M497</f>
        <v>1656.7181750000002</v>
      </c>
      <c r="O497" s="9"/>
      <c r="P497" s="318">
        <f t="shared" si="384"/>
        <v>743.56642500000009</v>
      </c>
      <c r="Q497" s="319">
        <f t="shared" si="385"/>
        <v>913.15175000000011</v>
      </c>
      <c r="R497" s="9"/>
      <c r="S497" s="9"/>
      <c r="T497" s="9"/>
    </row>
    <row r="498" spans="1:20" ht="15.75" x14ac:dyDescent="0.2">
      <c r="A498" s="67">
        <f>IF(G498&lt;&gt;"",1+MAX($A$2:A497),"")</f>
        <v>302</v>
      </c>
      <c r="B498" s="346"/>
      <c r="C498" s="346"/>
      <c r="D498" s="160" t="s">
        <v>380</v>
      </c>
      <c r="E498" s="218" t="s">
        <v>44</v>
      </c>
      <c r="F498" s="37">
        <f>18/1.33*18*0.668</f>
        <v>162.7308270676692</v>
      </c>
      <c r="G498" s="36">
        <v>0.05</v>
      </c>
      <c r="H498" s="37">
        <f>(G498*F498)+F498</f>
        <v>170.86736842105265</v>
      </c>
      <c r="I498" s="133">
        <v>1.4999999999999999E-2</v>
      </c>
      <c r="J498" s="240">
        <f t="shared" si="414"/>
        <v>50</v>
      </c>
      <c r="K498" s="38">
        <f>I498*J498</f>
        <v>0.75</v>
      </c>
      <c r="L498" s="38">
        <v>0.95</v>
      </c>
      <c r="M498" s="39">
        <f>+L498+K498</f>
        <v>1.7</v>
      </c>
      <c r="N498" s="41">
        <f>H498*M498</f>
        <v>290.47452631578949</v>
      </c>
      <c r="O498" s="9"/>
      <c r="P498" s="318">
        <f t="shared" si="384"/>
        <v>128.15052631578948</v>
      </c>
      <c r="Q498" s="319">
        <f t="shared" si="385"/>
        <v>162.32400000000001</v>
      </c>
      <c r="R498" s="9"/>
      <c r="S498" s="9"/>
      <c r="T498" s="9"/>
    </row>
    <row r="499" spans="1:20" ht="15.75" x14ac:dyDescent="0.2">
      <c r="A499" s="67">
        <f>IF(G499&lt;&gt;"",1+MAX($A$2:A498),"")</f>
        <v>303</v>
      </c>
      <c r="B499" s="346"/>
      <c r="C499" s="346"/>
      <c r="D499" s="160" t="s">
        <v>381</v>
      </c>
      <c r="E499" s="218" t="s">
        <v>7</v>
      </c>
      <c r="F499" s="37">
        <v>322</v>
      </c>
      <c r="G499" s="36">
        <v>0.05</v>
      </c>
      <c r="H499" s="37">
        <f>(G499*F499)+F499</f>
        <v>338.1</v>
      </c>
      <c r="I499" s="133">
        <v>1.2999999999999999E-2</v>
      </c>
      <c r="J499" s="240">
        <f t="shared" si="414"/>
        <v>50</v>
      </c>
      <c r="K499" s="38">
        <f>I499*J499</f>
        <v>0.65</v>
      </c>
      <c r="L499" s="38">
        <v>0.22</v>
      </c>
      <c r="M499" s="39">
        <f>+L499+K499</f>
        <v>0.87</v>
      </c>
      <c r="N499" s="41">
        <f>H499*M499</f>
        <v>294.14699999999999</v>
      </c>
      <c r="O499" s="9"/>
      <c r="P499" s="318">
        <f t="shared" si="384"/>
        <v>219.76500000000001</v>
      </c>
      <c r="Q499" s="319">
        <f t="shared" si="385"/>
        <v>74.382000000000005</v>
      </c>
      <c r="R499" s="9"/>
      <c r="S499" s="9"/>
      <c r="T499" s="9"/>
    </row>
    <row r="500" spans="1:20" ht="15.75" x14ac:dyDescent="0.2">
      <c r="A500" s="67">
        <f>IF(G500&lt;&gt;"",1+MAX($A$2:A499),"")</f>
        <v>304</v>
      </c>
      <c r="B500" s="346"/>
      <c r="C500" s="346"/>
      <c r="D500" s="160" t="s">
        <v>625</v>
      </c>
      <c r="E500" s="218" t="s">
        <v>7</v>
      </c>
      <c r="F500" s="37">
        <v>322</v>
      </c>
      <c r="G500" s="36">
        <v>0.05</v>
      </c>
      <c r="H500" s="37">
        <f>(G500*F500)+F500</f>
        <v>338.1</v>
      </c>
      <c r="I500" s="133">
        <v>2.8000000000000001E-2</v>
      </c>
      <c r="J500" s="240">
        <f t="shared" si="414"/>
        <v>50</v>
      </c>
      <c r="K500" s="38">
        <f>I500*J500</f>
        <v>1.4000000000000001</v>
      </c>
      <c r="L500" s="38">
        <v>1.37</v>
      </c>
      <c r="M500" s="39">
        <f>+L500+K500</f>
        <v>2.7700000000000005</v>
      </c>
      <c r="N500" s="41">
        <f>H500*M500</f>
        <v>936.53700000000026</v>
      </c>
      <c r="O500" s="9"/>
      <c r="P500" s="318">
        <f t="shared" si="384"/>
        <v>473.34000000000009</v>
      </c>
      <c r="Q500" s="319">
        <f t="shared" si="385"/>
        <v>463.19700000000006</v>
      </c>
      <c r="R500" s="9"/>
      <c r="S500" s="9"/>
      <c r="T500" s="9"/>
    </row>
    <row r="501" spans="1:20" ht="15.75" x14ac:dyDescent="0.2">
      <c r="A501" s="67">
        <f>IF(G501&lt;&gt;"",1+MAX($A$2:A500),"")</f>
        <v>305</v>
      </c>
      <c r="B501" s="347"/>
      <c r="C501" s="347"/>
      <c r="D501" s="160" t="s">
        <v>382</v>
      </c>
      <c r="E501" s="218" t="s">
        <v>7</v>
      </c>
      <c r="F501" s="37">
        <v>322</v>
      </c>
      <c r="G501" s="36">
        <v>0.05</v>
      </c>
      <c r="H501" s="37">
        <f>(G501*F501)+F501</f>
        <v>338.1</v>
      </c>
      <c r="I501" s="133">
        <v>1.2999999999999999E-2</v>
      </c>
      <c r="J501" s="240">
        <f t="shared" si="414"/>
        <v>50</v>
      </c>
      <c r="K501" s="38">
        <f>I501*J501</f>
        <v>0.65</v>
      </c>
      <c r="L501" s="38">
        <v>0.26</v>
      </c>
      <c r="M501" s="39">
        <f>+L501+K501</f>
        <v>0.91</v>
      </c>
      <c r="N501" s="41">
        <f>H501*M501</f>
        <v>307.67100000000005</v>
      </c>
      <c r="O501" s="9"/>
      <c r="P501" s="318">
        <f t="shared" si="384"/>
        <v>219.76500000000001</v>
      </c>
      <c r="Q501" s="319">
        <f t="shared" si="385"/>
        <v>87.906000000000006</v>
      </c>
      <c r="R501" s="9"/>
      <c r="S501" s="9"/>
      <c r="T501" s="9"/>
    </row>
    <row r="502" spans="1:20" ht="18" customHeight="1" x14ac:dyDescent="0.25">
      <c r="A502" s="84" t="str">
        <f>IF(G502&lt;&gt;"",1+MAX($A$2:A501),"")</f>
        <v/>
      </c>
      <c r="B502" s="173"/>
      <c r="C502" s="182"/>
      <c r="D502" s="226" t="s">
        <v>383</v>
      </c>
      <c r="E502" s="227"/>
      <c r="F502" s="64"/>
      <c r="G502" s="65"/>
      <c r="H502" s="37"/>
      <c r="I502" s="66"/>
      <c r="J502" s="242"/>
      <c r="K502" s="60"/>
      <c r="L502" s="60"/>
      <c r="M502" s="39"/>
      <c r="N502" s="41"/>
      <c r="O502" s="9"/>
      <c r="P502" s="318">
        <f t="shared" si="384"/>
        <v>0</v>
      </c>
      <c r="Q502" s="319">
        <f t="shared" si="385"/>
        <v>0</v>
      </c>
      <c r="R502" s="9"/>
      <c r="S502" s="9"/>
      <c r="T502" s="9"/>
    </row>
    <row r="503" spans="1:20" ht="31.5" x14ac:dyDescent="0.2">
      <c r="A503" s="67">
        <f>IF(G503&lt;&gt;"",1+MAX($A$2:A502),"")</f>
        <v>306</v>
      </c>
      <c r="B503" s="345" t="s">
        <v>367</v>
      </c>
      <c r="C503" s="149" t="s">
        <v>384</v>
      </c>
      <c r="D503" s="160" t="s">
        <v>385</v>
      </c>
      <c r="E503" s="218" t="s">
        <v>34</v>
      </c>
      <c r="F503" s="37">
        <v>762.38</v>
      </c>
      <c r="G503" s="36">
        <v>0.05</v>
      </c>
      <c r="H503" s="37">
        <f>(G503*F503)+F503</f>
        <v>800.49900000000002</v>
      </c>
      <c r="I503" s="133">
        <v>1.2E-2</v>
      </c>
      <c r="J503" s="240">
        <f t="shared" ref="J503:J505" si="415">$J$491</f>
        <v>50</v>
      </c>
      <c r="K503" s="38">
        <f>I503*J503</f>
        <v>0.6</v>
      </c>
      <c r="L503" s="38">
        <v>4.1500000000000004</v>
      </c>
      <c r="M503" s="39">
        <f>+L503+K503</f>
        <v>4.75</v>
      </c>
      <c r="N503" s="41">
        <f>H503*M503</f>
        <v>3802.3702499999999</v>
      </c>
      <c r="O503" s="9"/>
      <c r="P503" s="318">
        <f t="shared" si="384"/>
        <v>480.29939999999999</v>
      </c>
      <c r="Q503" s="319">
        <f t="shared" si="385"/>
        <v>3322.0708500000005</v>
      </c>
      <c r="R503" s="9"/>
      <c r="S503" s="9"/>
      <c r="T503" s="9"/>
    </row>
    <row r="504" spans="1:20" ht="31.5" x14ac:dyDescent="0.2">
      <c r="A504" s="67">
        <f>IF(G504&lt;&gt;"",1+MAX($A$2:A503),"")</f>
        <v>307</v>
      </c>
      <c r="B504" s="346"/>
      <c r="C504" s="149" t="s">
        <v>386</v>
      </c>
      <c r="D504" s="160" t="s">
        <v>387</v>
      </c>
      <c r="E504" s="218" t="s">
        <v>34</v>
      </c>
      <c r="F504" s="37">
        <f>56.33+(30/2*10)</f>
        <v>206.32999999999998</v>
      </c>
      <c r="G504" s="36">
        <v>0.05</v>
      </c>
      <c r="H504" s="37">
        <f>(G504*F504)+F504</f>
        <v>216.64649999999997</v>
      </c>
      <c r="I504" s="133">
        <v>1.2999999999999999E-2</v>
      </c>
      <c r="J504" s="240">
        <f t="shared" si="415"/>
        <v>50</v>
      </c>
      <c r="K504" s="38">
        <f>I504*J504</f>
        <v>0.65</v>
      </c>
      <c r="L504" s="38">
        <v>7.5</v>
      </c>
      <c r="M504" s="39">
        <f>+L504+K504</f>
        <v>8.15</v>
      </c>
      <c r="N504" s="41">
        <f>H504*M504</f>
        <v>1765.6689749999998</v>
      </c>
      <c r="O504" s="9"/>
      <c r="P504" s="318">
        <f t="shared" si="384"/>
        <v>140.82022499999999</v>
      </c>
      <c r="Q504" s="319">
        <f t="shared" si="385"/>
        <v>1624.8487499999999</v>
      </c>
      <c r="R504" s="9"/>
      <c r="S504" s="9"/>
      <c r="T504" s="9"/>
    </row>
    <row r="505" spans="1:20" ht="31.5" x14ac:dyDescent="0.2">
      <c r="A505" s="67">
        <f>IF(G505&lt;&gt;"",1+MAX($A$2:A504),"")</f>
        <v>308</v>
      </c>
      <c r="B505" s="347"/>
      <c r="C505" s="149" t="s">
        <v>388</v>
      </c>
      <c r="D505" s="160" t="s">
        <v>389</v>
      </c>
      <c r="E505" s="218" t="s">
        <v>34</v>
      </c>
      <c r="F505" s="37">
        <v>19.47</v>
      </c>
      <c r="G505" s="36">
        <v>0.05</v>
      </c>
      <c r="H505" s="37">
        <f>(G505*F505)+F505</f>
        <v>20.4435</v>
      </c>
      <c r="I505" s="133">
        <v>1.2E-2</v>
      </c>
      <c r="J505" s="240">
        <f t="shared" si="415"/>
        <v>50</v>
      </c>
      <c r="K505" s="38">
        <f>I505*J505</f>
        <v>0.6</v>
      </c>
      <c r="L505" s="38">
        <v>3.5</v>
      </c>
      <c r="M505" s="39">
        <f>+L505+K505</f>
        <v>4.0999999999999996</v>
      </c>
      <c r="N505" s="41">
        <f>H505*M505</f>
        <v>83.818349999999995</v>
      </c>
      <c r="O505" s="9"/>
      <c r="P505" s="318">
        <f t="shared" si="384"/>
        <v>12.2661</v>
      </c>
      <c r="Q505" s="319">
        <f t="shared" si="385"/>
        <v>71.552250000000001</v>
      </c>
      <c r="R505" s="9"/>
      <c r="S505" s="9"/>
      <c r="T505" s="9"/>
    </row>
    <row r="506" spans="1:20" ht="18" customHeight="1" x14ac:dyDescent="0.25">
      <c r="A506" s="84" t="str">
        <f>IF(G506&lt;&gt;"",1+MAX($A$2:A505),"")</f>
        <v/>
      </c>
      <c r="B506" s="173"/>
      <c r="C506" s="182"/>
      <c r="D506" s="226" t="s">
        <v>390</v>
      </c>
      <c r="E506" s="227"/>
      <c r="F506" s="64"/>
      <c r="G506" s="65"/>
      <c r="H506" s="37"/>
      <c r="I506" s="66"/>
      <c r="J506" s="242"/>
      <c r="K506" s="60"/>
      <c r="L506" s="60"/>
      <c r="M506" s="39"/>
      <c r="N506" s="41"/>
      <c r="O506" s="9"/>
      <c r="P506" s="318">
        <f t="shared" si="384"/>
        <v>0</v>
      </c>
      <c r="Q506" s="319">
        <f t="shared" si="385"/>
        <v>0</v>
      </c>
      <c r="R506" s="9"/>
      <c r="S506" s="9"/>
      <c r="T506" s="9"/>
    </row>
    <row r="507" spans="1:20" ht="31.5" x14ac:dyDescent="0.2">
      <c r="A507" s="67">
        <f>IF(G507&lt;&gt;"",1+MAX($A$2:A506),"")</f>
        <v>309</v>
      </c>
      <c r="B507" s="345" t="s">
        <v>367</v>
      </c>
      <c r="C507" s="345" t="s">
        <v>378</v>
      </c>
      <c r="D507" s="160" t="s">
        <v>391</v>
      </c>
      <c r="E507" s="218" t="s">
        <v>43</v>
      </c>
      <c r="F507" s="140">
        <f>((3.14*0.5*0.5*2.5)*4)/27</f>
        <v>0.29074074074074074</v>
      </c>
      <c r="G507" s="36">
        <v>0.05</v>
      </c>
      <c r="H507" s="140">
        <f t="shared" ref="H507:H509" si="416">(G507*F507)+F507</f>
        <v>0.30527777777777776</v>
      </c>
      <c r="I507" s="133">
        <v>2.85</v>
      </c>
      <c r="J507" s="240">
        <f t="shared" ref="J507:J509" si="417">$J$491</f>
        <v>50</v>
      </c>
      <c r="K507" s="38">
        <f>I507*J507</f>
        <v>142.5</v>
      </c>
      <c r="L507" s="38">
        <v>225</v>
      </c>
      <c r="M507" s="39">
        <f>+L507+K507</f>
        <v>367.5</v>
      </c>
      <c r="N507" s="41">
        <f t="shared" ref="N507:N509" si="418">H507*M507</f>
        <v>112.18958333333333</v>
      </c>
      <c r="O507" s="9"/>
      <c r="P507" s="318">
        <f t="shared" si="384"/>
        <v>43.502083333333331</v>
      </c>
      <c r="Q507" s="319">
        <f t="shared" si="385"/>
        <v>68.6875</v>
      </c>
      <c r="R507" s="9"/>
      <c r="S507" s="9"/>
      <c r="T507" s="9"/>
    </row>
    <row r="508" spans="1:20" ht="15.75" x14ac:dyDescent="0.2">
      <c r="A508" s="67">
        <f>IF(G508&lt;&gt;"",1+MAX($A$2:A507),"")</f>
        <v>310</v>
      </c>
      <c r="B508" s="346"/>
      <c r="C508" s="346"/>
      <c r="D508" s="160" t="s">
        <v>45</v>
      </c>
      <c r="E508" s="218" t="s">
        <v>43</v>
      </c>
      <c r="F508" s="140">
        <f>((3.14*1*1*2.5)*4)/27</f>
        <v>1.162962962962963</v>
      </c>
      <c r="G508" s="36">
        <v>0.05</v>
      </c>
      <c r="H508" s="188">
        <f t="shared" si="416"/>
        <v>1.221111111111111</v>
      </c>
      <c r="I508" s="133">
        <v>1.1000000000000001</v>
      </c>
      <c r="J508" s="240">
        <f t="shared" si="417"/>
        <v>50</v>
      </c>
      <c r="K508" s="38">
        <f>I508*J508</f>
        <v>55.000000000000007</v>
      </c>
      <c r="L508" s="38">
        <v>0</v>
      </c>
      <c r="M508" s="39">
        <f>+L508+K508</f>
        <v>55.000000000000007</v>
      </c>
      <c r="N508" s="41">
        <f t="shared" si="418"/>
        <v>67.161111111111111</v>
      </c>
      <c r="O508" s="9"/>
      <c r="P508" s="318">
        <f t="shared" si="384"/>
        <v>67.161111111111111</v>
      </c>
      <c r="Q508" s="319">
        <f t="shared" si="385"/>
        <v>0</v>
      </c>
      <c r="R508" s="9"/>
      <c r="S508" s="9"/>
      <c r="T508" s="9"/>
    </row>
    <row r="509" spans="1:20" ht="15.75" x14ac:dyDescent="0.2">
      <c r="A509" s="67">
        <f>IF(G509&lt;&gt;"",1+MAX($A$2:A508),"")</f>
        <v>311</v>
      </c>
      <c r="B509" s="347"/>
      <c r="C509" s="347"/>
      <c r="D509" s="160" t="s">
        <v>46</v>
      </c>
      <c r="E509" s="218" t="s">
        <v>43</v>
      </c>
      <c r="F509" s="37">
        <f>F508-F507</f>
        <v>0.87222222222222223</v>
      </c>
      <c r="G509" s="36">
        <v>0.05</v>
      </c>
      <c r="H509" s="37">
        <f t="shared" si="416"/>
        <v>0.91583333333333339</v>
      </c>
      <c r="I509" s="133">
        <v>0.78</v>
      </c>
      <c r="J509" s="240">
        <f t="shared" si="417"/>
        <v>50</v>
      </c>
      <c r="K509" s="38">
        <f>I509*J509</f>
        <v>39</v>
      </c>
      <c r="L509" s="38">
        <v>0</v>
      </c>
      <c r="M509" s="39">
        <f>+L509+K509</f>
        <v>39</v>
      </c>
      <c r="N509" s="41">
        <f t="shared" si="418"/>
        <v>35.717500000000001</v>
      </c>
      <c r="O509" s="9"/>
      <c r="P509" s="318">
        <f t="shared" si="384"/>
        <v>35.717500000000001</v>
      </c>
      <c r="Q509" s="319">
        <f t="shared" si="385"/>
        <v>0</v>
      </c>
      <c r="R509" s="9"/>
      <c r="S509" s="9"/>
      <c r="T509" s="9"/>
    </row>
    <row r="510" spans="1:20" ht="18" customHeight="1" x14ac:dyDescent="0.25">
      <c r="A510" s="84" t="str">
        <f>IF(G510&lt;&gt;"",1+MAX($A$2:A509),"")</f>
        <v/>
      </c>
      <c r="B510" s="173"/>
      <c r="C510" s="182"/>
      <c r="D510" s="226" t="s">
        <v>392</v>
      </c>
      <c r="E510" s="227"/>
      <c r="F510" s="64"/>
      <c r="G510" s="65"/>
      <c r="H510" s="37"/>
      <c r="I510" s="66"/>
      <c r="J510" s="242"/>
      <c r="K510" s="60"/>
      <c r="L510" s="60"/>
      <c r="M510" s="39"/>
      <c r="N510" s="41"/>
      <c r="O510" s="9"/>
      <c r="P510" s="318">
        <f t="shared" si="384"/>
        <v>0</v>
      </c>
      <c r="Q510" s="319">
        <f t="shared" si="385"/>
        <v>0</v>
      </c>
      <c r="R510" s="9"/>
      <c r="S510" s="9"/>
      <c r="T510" s="9"/>
    </row>
    <row r="511" spans="1:20" ht="63" x14ac:dyDescent="0.2">
      <c r="A511" s="67">
        <f>IF(G511&lt;&gt;"",1+MAX($A$2:A510),"")</f>
        <v>312</v>
      </c>
      <c r="B511" s="221" t="s">
        <v>367</v>
      </c>
      <c r="C511" s="221" t="s">
        <v>378</v>
      </c>
      <c r="D511" s="160" t="s">
        <v>393</v>
      </c>
      <c r="E511" s="218" t="s">
        <v>32</v>
      </c>
      <c r="F511" s="37">
        <v>4</v>
      </c>
      <c r="G511" s="36">
        <v>0</v>
      </c>
      <c r="H511" s="37">
        <f t="shared" ref="H511" si="419">(G511*F511)+F511</f>
        <v>4</v>
      </c>
      <c r="I511" s="133">
        <v>1.28</v>
      </c>
      <c r="J511" s="240">
        <f>$J$491</f>
        <v>50</v>
      </c>
      <c r="K511" s="38">
        <f>I511*J511</f>
        <v>64</v>
      </c>
      <c r="L511" s="38">
        <f>53.5*9</f>
        <v>481.5</v>
      </c>
      <c r="M511" s="39">
        <f>+L511+K511</f>
        <v>545.5</v>
      </c>
      <c r="N511" s="41">
        <f t="shared" ref="N511" si="420">H511*M511</f>
        <v>2182</v>
      </c>
      <c r="O511" s="9"/>
      <c r="P511" s="318">
        <f t="shared" si="384"/>
        <v>256</v>
      </c>
      <c r="Q511" s="319">
        <f t="shared" si="385"/>
        <v>1926</v>
      </c>
      <c r="R511" s="9"/>
      <c r="S511" s="9"/>
      <c r="T511" s="9"/>
    </row>
    <row r="512" spans="1:20" ht="18" customHeight="1" x14ac:dyDescent="0.25">
      <c r="A512" s="84" t="str">
        <f>IF(G512&lt;&gt;"",1+MAX($A$2:A511),"")</f>
        <v/>
      </c>
      <c r="B512" s="173"/>
      <c r="C512" s="182"/>
      <c r="D512" s="226" t="s">
        <v>394</v>
      </c>
      <c r="E512" s="227"/>
      <c r="F512" s="64"/>
      <c r="G512" s="65"/>
      <c r="H512" s="37"/>
      <c r="I512" s="66"/>
      <c r="J512" s="242"/>
      <c r="K512" s="60"/>
      <c r="L512" s="60"/>
      <c r="M512" s="39"/>
      <c r="N512" s="41"/>
      <c r="O512" s="9"/>
      <c r="P512" s="318">
        <f t="shared" ref="P512:P534" si="421">K512*H512</f>
        <v>0</v>
      </c>
      <c r="Q512" s="319">
        <f t="shared" ref="Q512:Q534" si="422">L512*H512</f>
        <v>0</v>
      </c>
      <c r="R512" s="9"/>
      <c r="S512" s="9"/>
      <c r="T512" s="9"/>
    </row>
    <row r="513" spans="1:20" ht="126" x14ac:dyDescent="0.2">
      <c r="A513" s="67">
        <f>IF(G513&lt;&gt;"",1+MAX($A$2:A512),"")</f>
        <v>313</v>
      </c>
      <c r="B513" s="154" t="s">
        <v>367</v>
      </c>
      <c r="C513" s="154" t="s">
        <v>368</v>
      </c>
      <c r="D513" s="328" t="s">
        <v>395</v>
      </c>
      <c r="E513" s="218" t="s">
        <v>34</v>
      </c>
      <c r="F513" s="37">
        <v>63.42</v>
      </c>
      <c r="G513" s="36">
        <v>0.05</v>
      </c>
      <c r="H513" s="37">
        <f t="shared" ref="H513" si="423">(G513*F513)+F513</f>
        <v>66.591000000000008</v>
      </c>
      <c r="I513" s="133">
        <v>6.2E-2</v>
      </c>
      <c r="J513" s="240">
        <f>$J$491</f>
        <v>50</v>
      </c>
      <c r="K513" s="38">
        <f>I513*J513</f>
        <v>3.1</v>
      </c>
      <c r="L513" s="38">
        <v>22.25</v>
      </c>
      <c r="M513" s="39">
        <f>+L513+K513</f>
        <v>25.35</v>
      </c>
      <c r="N513" s="41">
        <f t="shared" ref="N513" si="424">H513*M513</f>
        <v>1688.0818500000003</v>
      </c>
      <c r="O513" s="9"/>
      <c r="P513" s="318">
        <f t="shared" si="421"/>
        <v>206.43210000000002</v>
      </c>
      <c r="Q513" s="319">
        <f t="shared" si="422"/>
        <v>1481.6497500000003</v>
      </c>
      <c r="R513" s="9"/>
      <c r="S513" s="9"/>
      <c r="T513" s="9"/>
    </row>
    <row r="514" spans="1:20" ht="18" customHeight="1" x14ac:dyDescent="0.25">
      <c r="A514" s="84" t="str">
        <f>IF(G514&lt;&gt;"",1+MAX($A$2:A513),"")</f>
        <v/>
      </c>
      <c r="B514" s="173"/>
      <c r="C514" s="182"/>
      <c r="D514" s="226" t="s">
        <v>67</v>
      </c>
      <c r="E514" s="227"/>
      <c r="F514" s="64"/>
      <c r="G514" s="65"/>
      <c r="H514" s="37"/>
      <c r="I514" s="170"/>
      <c r="J514" s="242"/>
      <c r="K514" s="60"/>
      <c r="L514" s="60"/>
      <c r="M514" s="39"/>
      <c r="N514" s="41"/>
      <c r="O514" s="9"/>
      <c r="P514" s="318">
        <f t="shared" si="421"/>
        <v>0</v>
      </c>
      <c r="Q514" s="319">
        <f t="shared" si="422"/>
        <v>0</v>
      </c>
      <c r="R514" s="9"/>
      <c r="S514" s="9"/>
      <c r="T514" s="9"/>
    </row>
    <row r="515" spans="1:20" ht="15.6" customHeight="1" x14ac:dyDescent="0.2">
      <c r="A515" s="67" t="str">
        <f>IF(G515&lt;&gt;"",1+MAX($A$2:A514),"")</f>
        <v/>
      </c>
      <c r="B515" s="95"/>
      <c r="C515" s="34"/>
      <c r="D515" s="136" t="s">
        <v>396</v>
      </c>
      <c r="E515" s="86"/>
      <c r="F515" s="37"/>
      <c r="G515" s="36"/>
      <c r="H515" s="37"/>
      <c r="I515" s="169"/>
      <c r="J515" s="243"/>
      <c r="K515" s="38"/>
      <c r="L515" s="38"/>
      <c r="M515" s="39"/>
      <c r="N515" s="41"/>
      <c r="O515" s="9"/>
      <c r="P515" s="318">
        <f t="shared" si="421"/>
        <v>0</v>
      </c>
      <c r="Q515" s="319">
        <f t="shared" si="422"/>
        <v>0</v>
      </c>
      <c r="R515" s="9"/>
      <c r="S515" s="9"/>
      <c r="T515" s="9"/>
    </row>
    <row r="516" spans="1:20" ht="31.5" x14ac:dyDescent="0.2">
      <c r="A516" s="67">
        <f>IF(G516&lt;&gt;"",1+MAX($A$2:A515),"")</f>
        <v>314</v>
      </c>
      <c r="B516" s="154" t="s">
        <v>397</v>
      </c>
      <c r="C516" s="345" t="s">
        <v>398</v>
      </c>
      <c r="D516" s="185" t="s">
        <v>399</v>
      </c>
      <c r="E516" s="186" t="s">
        <v>7</v>
      </c>
      <c r="F516" s="187">
        <f>3.14*30</f>
        <v>94.2</v>
      </c>
      <c r="G516" s="36">
        <v>0.05</v>
      </c>
      <c r="H516" s="37">
        <f t="shared" ref="H516:H519" si="425">(G516*F516)+F516</f>
        <v>98.91</v>
      </c>
      <c r="I516" s="133">
        <v>1.2E-2</v>
      </c>
      <c r="J516" s="240">
        <f t="shared" ref="J516:J519" si="426">$J$491</f>
        <v>50</v>
      </c>
      <c r="K516" s="38">
        <f>I516*J516</f>
        <v>0.6</v>
      </c>
      <c r="L516" s="38">
        <v>2.58</v>
      </c>
      <c r="M516" s="39">
        <f>+L516+K516</f>
        <v>3.18</v>
      </c>
      <c r="N516" s="41">
        <f>H516*M516</f>
        <v>314.53379999999999</v>
      </c>
      <c r="O516" s="9"/>
      <c r="P516" s="318">
        <f t="shared" si="421"/>
        <v>59.345999999999997</v>
      </c>
      <c r="Q516" s="319">
        <f t="shared" si="422"/>
        <v>255.18780000000001</v>
      </c>
      <c r="R516" s="9"/>
      <c r="S516" s="9"/>
      <c r="T516" s="9"/>
    </row>
    <row r="517" spans="1:20" ht="31.5" x14ac:dyDescent="0.2">
      <c r="A517" s="67">
        <f>IF(G517&lt;&gt;"",1+MAX($A$2:A516),"")</f>
        <v>315</v>
      </c>
      <c r="B517" s="154" t="s">
        <v>397</v>
      </c>
      <c r="C517" s="347"/>
      <c r="D517" s="185" t="s">
        <v>400</v>
      </c>
      <c r="E517" s="186" t="s">
        <v>7</v>
      </c>
      <c r="F517" s="187">
        <f>3.14*30</f>
        <v>94.2</v>
      </c>
      <c r="G517" s="36">
        <v>0.05</v>
      </c>
      <c r="H517" s="37">
        <f t="shared" si="425"/>
        <v>98.91</v>
      </c>
      <c r="I517" s="133">
        <v>0.01</v>
      </c>
      <c r="J517" s="240">
        <f t="shared" si="426"/>
        <v>50</v>
      </c>
      <c r="K517" s="38">
        <f>I517*J517</f>
        <v>0.5</v>
      </c>
      <c r="L517" s="38">
        <v>0.1</v>
      </c>
      <c r="M517" s="39">
        <f>+L517+K517</f>
        <v>0.6</v>
      </c>
      <c r="N517" s="41">
        <f>H517*M517</f>
        <v>59.345999999999997</v>
      </c>
      <c r="O517" s="9"/>
      <c r="P517" s="318">
        <f t="shared" si="421"/>
        <v>49.454999999999998</v>
      </c>
      <c r="Q517" s="319">
        <f t="shared" si="422"/>
        <v>9.891</v>
      </c>
      <c r="R517" s="9"/>
      <c r="S517" s="9"/>
      <c r="T517" s="9"/>
    </row>
    <row r="518" spans="1:20" ht="31.5" x14ac:dyDescent="0.2">
      <c r="A518" s="67">
        <f>IF(G518&lt;&gt;"",1+MAX($A$2:A517),"")</f>
        <v>316</v>
      </c>
      <c r="B518" s="345" t="s">
        <v>397</v>
      </c>
      <c r="C518" s="345" t="s">
        <v>398</v>
      </c>
      <c r="D518" s="185" t="s">
        <v>401</v>
      </c>
      <c r="E518" s="186" t="s">
        <v>7</v>
      </c>
      <c r="F518" s="187">
        <f>3.14*1</f>
        <v>3.14</v>
      </c>
      <c r="G518" s="36">
        <v>0.05</v>
      </c>
      <c r="H518" s="37">
        <f t="shared" si="425"/>
        <v>3.2970000000000002</v>
      </c>
      <c r="I518" s="133">
        <v>1.2E-2</v>
      </c>
      <c r="J518" s="240">
        <f t="shared" si="426"/>
        <v>50</v>
      </c>
      <c r="K518" s="38">
        <f>I518*J518</f>
        <v>0.6</v>
      </c>
      <c r="L518" s="38">
        <v>2.58</v>
      </c>
      <c r="M518" s="39">
        <f>+L518+K518</f>
        <v>3.18</v>
      </c>
      <c r="N518" s="41">
        <f>H518*M518</f>
        <v>10.48446</v>
      </c>
      <c r="O518" s="9"/>
      <c r="P518" s="318">
        <f t="shared" si="421"/>
        <v>1.9782</v>
      </c>
      <c r="Q518" s="319">
        <f t="shared" si="422"/>
        <v>8.506260000000001</v>
      </c>
      <c r="R518" s="9"/>
      <c r="S518" s="9"/>
      <c r="T518" s="9"/>
    </row>
    <row r="519" spans="1:20" ht="31.5" x14ac:dyDescent="0.2">
      <c r="A519" s="67">
        <f>IF(G519&lt;&gt;"",1+MAX($A$2:A518),"")</f>
        <v>317</v>
      </c>
      <c r="B519" s="346"/>
      <c r="C519" s="346"/>
      <c r="D519" s="185" t="s">
        <v>402</v>
      </c>
      <c r="E519" s="186" t="s">
        <v>7</v>
      </c>
      <c r="F519" s="187">
        <f>3.14*1</f>
        <v>3.14</v>
      </c>
      <c r="G519" s="36">
        <v>0.05</v>
      </c>
      <c r="H519" s="37">
        <f t="shared" si="425"/>
        <v>3.2970000000000002</v>
      </c>
      <c r="I519" s="133">
        <v>0.01</v>
      </c>
      <c r="J519" s="240">
        <f t="shared" si="426"/>
        <v>50</v>
      </c>
      <c r="K519" s="38">
        <f>I519*J519</f>
        <v>0.5</v>
      </c>
      <c r="L519" s="38">
        <v>0.11</v>
      </c>
      <c r="M519" s="39">
        <f>+L519+K519</f>
        <v>0.61</v>
      </c>
      <c r="N519" s="41">
        <f>H519*M519</f>
        <v>2.0111699999999999</v>
      </c>
      <c r="O519" s="9"/>
      <c r="P519" s="318">
        <f t="shared" si="421"/>
        <v>1.6485000000000001</v>
      </c>
      <c r="Q519" s="319">
        <f t="shared" si="422"/>
        <v>0.36266999999999999</v>
      </c>
      <c r="R519" s="9"/>
      <c r="S519" s="9"/>
      <c r="T519" s="9"/>
    </row>
    <row r="520" spans="1:20" ht="15.6" customHeight="1" x14ac:dyDescent="0.2">
      <c r="A520" s="67" t="str">
        <f>IF(G520&lt;&gt;"",1+MAX($A$2:A519),"")</f>
        <v/>
      </c>
      <c r="B520" s="95"/>
      <c r="C520" s="34"/>
      <c r="D520" s="136" t="s">
        <v>403</v>
      </c>
      <c r="E520" s="86"/>
      <c r="F520" s="37"/>
      <c r="G520" s="36"/>
      <c r="H520" s="37"/>
      <c r="I520" s="169"/>
      <c r="J520" s="243"/>
      <c r="K520" s="38"/>
      <c r="L520" s="38"/>
      <c r="M520" s="39"/>
      <c r="N520" s="41"/>
      <c r="O520" s="9"/>
      <c r="P520" s="318">
        <f t="shared" si="421"/>
        <v>0</v>
      </c>
      <c r="Q520" s="319">
        <f t="shared" si="422"/>
        <v>0</v>
      </c>
      <c r="R520" s="9"/>
      <c r="S520" s="9"/>
      <c r="T520" s="9"/>
    </row>
    <row r="521" spans="1:20" ht="78.75" x14ac:dyDescent="0.2">
      <c r="A521" s="67">
        <f>IF(G521&lt;&gt;"",1+MAX($A$2:A520),"")</f>
        <v>318</v>
      </c>
      <c r="B521" s="154" t="s">
        <v>397</v>
      </c>
      <c r="C521" s="149" t="s">
        <v>404</v>
      </c>
      <c r="D521" s="160" t="s">
        <v>405</v>
      </c>
      <c r="E521" s="218" t="s">
        <v>32</v>
      </c>
      <c r="F521" s="37">
        <v>3</v>
      </c>
      <c r="G521" s="36">
        <v>0</v>
      </c>
      <c r="H521" s="37">
        <f t="shared" ref="H521" si="427">(G521*F521)+F521</f>
        <v>3</v>
      </c>
      <c r="I521" s="133">
        <v>1.18</v>
      </c>
      <c r="J521" s="240">
        <f>$J$491</f>
        <v>50</v>
      </c>
      <c r="K521" s="38">
        <f>I521*J521</f>
        <v>59</v>
      </c>
      <c r="L521" s="38">
        <v>286.95</v>
      </c>
      <c r="M521" s="39">
        <f>+L521+K521</f>
        <v>345.95</v>
      </c>
      <c r="N521" s="41">
        <f>H521*M521</f>
        <v>1037.8499999999999</v>
      </c>
      <c r="O521" s="9"/>
      <c r="P521" s="318">
        <f t="shared" si="421"/>
        <v>177</v>
      </c>
      <c r="Q521" s="319">
        <f t="shared" si="422"/>
        <v>860.84999999999991</v>
      </c>
      <c r="R521" s="9"/>
      <c r="S521" s="9"/>
      <c r="T521" s="9"/>
    </row>
    <row r="522" spans="1:20" ht="15.6" customHeight="1" x14ac:dyDescent="0.2">
      <c r="A522" s="67" t="str">
        <f>IF(G522&lt;&gt;"",1+MAX($A$2:A521),"")</f>
        <v/>
      </c>
      <c r="B522" s="95"/>
      <c r="C522" s="34"/>
      <c r="D522" s="136" t="s">
        <v>406</v>
      </c>
      <c r="E522" s="86"/>
      <c r="F522" s="37"/>
      <c r="G522" s="36"/>
      <c r="H522" s="37"/>
      <c r="I522" s="169"/>
      <c r="J522" s="243"/>
      <c r="K522" s="38"/>
      <c r="L522" s="38"/>
      <c r="M522" s="39"/>
      <c r="N522" s="41"/>
      <c r="O522" s="9"/>
      <c r="P522" s="318">
        <f t="shared" si="421"/>
        <v>0</v>
      </c>
      <c r="Q522" s="319">
        <f t="shared" si="422"/>
        <v>0</v>
      </c>
      <c r="R522" s="9"/>
      <c r="S522" s="9"/>
      <c r="T522" s="9"/>
    </row>
    <row r="523" spans="1:20" ht="63" x14ac:dyDescent="0.2">
      <c r="A523" s="67">
        <f>IF(G523&lt;&gt;"",1+MAX($A$2:A522),"")</f>
        <v>319</v>
      </c>
      <c r="B523" s="345" t="s">
        <v>397</v>
      </c>
      <c r="C523" s="345" t="s">
        <v>404</v>
      </c>
      <c r="D523" s="160" t="s">
        <v>407</v>
      </c>
      <c r="E523" s="218" t="s">
        <v>32</v>
      </c>
      <c r="F523" s="37">
        <v>8</v>
      </c>
      <c r="G523" s="36">
        <v>0</v>
      </c>
      <c r="H523" s="37">
        <f>(G523*F523)+F523</f>
        <v>8</v>
      </c>
      <c r="I523" s="133">
        <v>0.5</v>
      </c>
      <c r="J523" s="240">
        <f t="shared" ref="J523:J526" si="428">$J$491</f>
        <v>50</v>
      </c>
      <c r="K523" s="38">
        <f>I523*J523</f>
        <v>25</v>
      </c>
      <c r="L523" s="38">
        <v>71</v>
      </c>
      <c r="M523" s="39">
        <f>+L523+K523</f>
        <v>96</v>
      </c>
      <c r="N523" s="41">
        <f>H523*M523</f>
        <v>768</v>
      </c>
      <c r="O523" s="9"/>
      <c r="P523" s="318">
        <f t="shared" si="421"/>
        <v>200</v>
      </c>
      <c r="Q523" s="319">
        <f t="shared" si="422"/>
        <v>568</v>
      </c>
      <c r="R523" s="9"/>
      <c r="S523" s="9"/>
      <c r="T523" s="9"/>
    </row>
    <row r="524" spans="1:20" ht="63" x14ac:dyDescent="0.2">
      <c r="A524" s="67">
        <f>IF(G524&lt;&gt;"",1+MAX($A$2:A523),"")</f>
        <v>320</v>
      </c>
      <c r="B524" s="346"/>
      <c r="C524" s="346"/>
      <c r="D524" s="160" t="s">
        <v>408</v>
      </c>
      <c r="E524" s="218" t="s">
        <v>32</v>
      </c>
      <c r="F524" s="37">
        <v>7</v>
      </c>
      <c r="G524" s="36">
        <v>0</v>
      </c>
      <c r="H524" s="37">
        <f>(G524*F524)+F524</f>
        <v>7</v>
      </c>
      <c r="I524" s="133">
        <v>0.5</v>
      </c>
      <c r="J524" s="240">
        <f t="shared" si="428"/>
        <v>50</v>
      </c>
      <c r="K524" s="38">
        <f>I524*J524</f>
        <v>25</v>
      </c>
      <c r="L524" s="38">
        <v>129</v>
      </c>
      <c r="M524" s="39">
        <f>+L524+K524</f>
        <v>154</v>
      </c>
      <c r="N524" s="41">
        <f>H524*M524</f>
        <v>1078</v>
      </c>
      <c r="O524" s="9"/>
      <c r="P524" s="318">
        <f t="shared" si="421"/>
        <v>175</v>
      </c>
      <c r="Q524" s="319">
        <f t="shared" si="422"/>
        <v>903</v>
      </c>
      <c r="R524" s="9"/>
      <c r="S524" s="9"/>
      <c r="T524" s="9"/>
    </row>
    <row r="525" spans="1:20" ht="63" x14ac:dyDescent="0.2">
      <c r="A525" s="67">
        <f>IF(G525&lt;&gt;"",1+MAX($A$2:A524),"")</f>
        <v>321</v>
      </c>
      <c r="B525" s="346"/>
      <c r="C525" s="346"/>
      <c r="D525" s="160" t="s">
        <v>409</v>
      </c>
      <c r="E525" s="218" t="s">
        <v>32</v>
      </c>
      <c r="F525" s="37">
        <v>5</v>
      </c>
      <c r="G525" s="36">
        <v>0</v>
      </c>
      <c r="H525" s="37">
        <f t="shared" ref="H525:H526" si="429">(G525*F525)+F525</f>
        <v>5</v>
      </c>
      <c r="I525" s="133">
        <v>0.5</v>
      </c>
      <c r="J525" s="240">
        <f t="shared" si="428"/>
        <v>50</v>
      </c>
      <c r="K525" s="38">
        <f>I525*J525</f>
        <v>25</v>
      </c>
      <c r="L525" s="38">
        <v>135</v>
      </c>
      <c r="M525" s="39">
        <f>+L525+K525</f>
        <v>160</v>
      </c>
      <c r="N525" s="41">
        <f>H525*M525</f>
        <v>800</v>
      </c>
      <c r="O525" s="9"/>
      <c r="P525" s="318">
        <f t="shared" si="421"/>
        <v>125</v>
      </c>
      <c r="Q525" s="319">
        <f t="shared" si="422"/>
        <v>675</v>
      </c>
      <c r="R525" s="9"/>
      <c r="S525" s="9"/>
      <c r="T525" s="9"/>
    </row>
    <row r="526" spans="1:20" ht="63" x14ac:dyDescent="0.2">
      <c r="A526" s="67">
        <f>IF(G526&lt;&gt;"",1+MAX($A$2:A525),"")</f>
        <v>322</v>
      </c>
      <c r="B526" s="347"/>
      <c r="C526" s="347"/>
      <c r="D526" s="160" t="s">
        <v>410</v>
      </c>
      <c r="E526" s="218" t="s">
        <v>32</v>
      </c>
      <c r="F526" s="37">
        <v>10</v>
      </c>
      <c r="G526" s="36">
        <v>0</v>
      </c>
      <c r="H526" s="37">
        <f t="shared" si="429"/>
        <v>10</v>
      </c>
      <c r="I526" s="133">
        <v>0.5</v>
      </c>
      <c r="J526" s="240">
        <f t="shared" si="428"/>
        <v>50</v>
      </c>
      <c r="K526" s="38">
        <f>I526*J526</f>
        <v>25</v>
      </c>
      <c r="L526" s="38">
        <v>55</v>
      </c>
      <c r="M526" s="39">
        <f>+L526+K526</f>
        <v>80</v>
      </c>
      <c r="N526" s="41">
        <f>H526*M526</f>
        <v>800</v>
      </c>
      <c r="O526" s="9"/>
      <c r="P526" s="318">
        <f t="shared" si="421"/>
        <v>250</v>
      </c>
      <c r="Q526" s="319">
        <f t="shared" si="422"/>
        <v>550</v>
      </c>
      <c r="R526" s="9"/>
      <c r="S526" s="9"/>
      <c r="T526" s="9"/>
    </row>
    <row r="527" spans="1:20" ht="15.6" customHeight="1" x14ac:dyDescent="0.2">
      <c r="A527" s="67" t="str">
        <f>IF(G527&lt;&gt;"",1+MAX($A$2:A526),"")</f>
        <v/>
      </c>
      <c r="B527" s="95"/>
      <c r="C527" s="34"/>
      <c r="D527" s="136" t="s">
        <v>411</v>
      </c>
      <c r="E527" s="86"/>
      <c r="F527" s="37"/>
      <c r="G527" s="36"/>
      <c r="H527" s="37"/>
      <c r="I527" s="169"/>
      <c r="J527" s="243"/>
      <c r="K527" s="38"/>
      <c r="L527" s="38"/>
      <c r="M527" s="39"/>
      <c r="N527" s="41"/>
      <c r="O527" s="9"/>
      <c r="P527" s="318">
        <f t="shared" si="421"/>
        <v>0</v>
      </c>
      <c r="Q527" s="319">
        <f t="shared" si="422"/>
        <v>0</v>
      </c>
      <c r="R527" s="9"/>
      <c r="S527" s="9"/>
      <c r="T527" s="9"/>
    </row>
    <row r="528" spans="1:20" ht="78.75" x14ac:dyDescent="0.2">
      <c r="A528" s="67">
        <f>IF(G528&lt;&gt;"",1+MAX($A$2:A527),"")</f>
        <v>323</v>
      </c>
      <c r="B528" s="345" t="s">
        <v>397</v>
      </c>
      <c r="C528" s="345" t="s">
        <v>404</v>
      </c>
      <c r="D528" s="160" t="s">
        <v>412</v>
      </c>
      <c r="E528" s="218" t="s">
        <v>32</v>
      </c>
      <c r="F528" s="37">
        <v>31</v>
      </c>
      <c r="G528" s="36">
        <v>0</v>
      </c>
      <c r="H528" s="37">
        <f>(G528*F528)+F528</f>
        <v>31</v>
      </c>
      <c r="I528" s="133">
        <v>0.38</v>
      </c>
      <c r="J528" s="240">
        <f>$J$491</f>
        <v>50</v>
      </c>
      <c r="K528" s="38">
        <f>I528*J528</f>
        <v>19</v>
      </c>
      <c r="L528" s="38">
        <v>14.95</v>
      </c>
      <c r="M528" s="39">
        <f>+L528+K528</f>
        <v>33.950000000000003</v>
      </c>
      <c r="N528" s="41">
        <f>H528*M528</f>
        <v>1052.45</v>
      </c>
      <c r="O528" s="9"/>
      <c r="P528" s="318">
        <f t="shared" si="421"/>
        <v>589</v>
      </c>
      <c r="Q528" s="319">
        <f t="shared" si="422"/>
        <v>463.45</v>
      </c>
      <c r="R528" s="9"/>
      <c r="S528" s="9"/>
      <c r="T528" s="9"/>
    </row>
    <row r="529" spans="1:20" ht="78.75" x14ac:dyDescent="0.2">
      <c r="A529" s="67">
        <f>IF(G529&lt;&gt;"",1+MAX($A$2:A528),"")</f>
        <v>324</v>
      </c>
      <c r="B529" s="346"/>
      <c r="C529" s="346"/>
      <c r="D529" s="160" t="s">
        <v>413</v>
      </c>
      <c r="E529" s="218" t="s">
        <v>32</v>
      </c>
      <c r="F529" s="37">
        <v>34</v>
      </c>
      <c r="G529" s="36">
        <v>0</v>
      </c>
      <c r="H529" s="37">
        <f>(G529*F529)+F529</f>
        <v>34</v>
      </c>
      <c r="I529" s="133">
        <v>0.4</v>
      </c>
      <c r="J529" s="240">
        <f>$J$491</f>
        <v>50</v>
      </c>
      <c r="K529" s="38">
        <f>I529*J529</f>
        <v>20</v>
      </c>
      <c r="L529" s="38">
        <v>11.99</v>
      </c>
      <c r="M529" s="39">
        <f>+L529+K529</f>
        <v>31.990000000000002</v>
      </c>
      <c r="N529" s="41">
        <f>H529*M529</f>
        <v>1087.6600000000001</v>
      </c>
      <c r="O529" s="9"/>
      <c r="P529" s="318">
        <f t="shared" si="421"/>
        <v>680</v>
      </c>
      <c r="Q529" s="319">
        <f t="shared" si="422"/>
        <v>407.66</v>
      </c>
      <c r="R529" s="9"/>
      <c r="S529" s="9"/>
      <c r="T529" s="9"/>
    </row>
    <row r="530" spans="1:20" ht="78.75" x14ac:dyDescent="0.2">
      <c r="A530" s="67">
        <f>IF(G530&lt;&gt;"",1+MAX($A$2:A529),"")</f>
        <v>325</v>
      </c>
      <c r="B530" s="346"/>
      <c r="C530" s="346"/>
      <c r="D530" s="160" t="s">
        <v>626</v>
      </c>
      <c r="E530" s="218" t="s">
        <v>32</v>
      </c>
      <c r="F530" s="37">
        <v>34</v>
      </c>
      <c r="G530" s="36">
        <v>0</v>
      </c>
      <c r="H530" s="37">
        <f>(G530*F530)+F530</f>
        <v>34</v>
      </c>
      <c r="I530" s="133">
        <v>0.4</v>
      </c>
      <c r="J530" s="240">
        <f>$J$491</f>
        <v>50</v>
      </c>
      <c r="K530" s="38">
        <f>I530*J530</f>
        <v>20</v>
      </c>
      <c r="L530" s="38">
        <v>14</v>
      </c>
      <c r="M530" s="39">
        <f>+L530+K530</f>
        <v>34</v>
      </c>
      <c r="N530" s="41">
        <f>H530*M530</f>
        <v>1156</v>
      </c>
      <c r="O530" s="9"/>
      <c r="P530" s="318">
        <f t="shared" si="421"/>
        <v>680</v>
      </c>
      <c r="Q530" s="319">
        <f t="shared" si="422"/>
        <v>476</v>
      </c>
      <c r="R530" s="9"/>
      <c r="S530" s="9"/>
      <c r="T530" s="9"/>
    </row>
    <row r="531" spans="1:20" ht="63" x14ac:dyDescent="0.2">
      <c r="A531" s="67">
        <f>IF(G531&lt;&gt;"",1+MAX($A$2:A530),"")</f>
        <v>326</v>
      </c>
      <c r="B531" s="347"/>
      <c r="C531" s="347"/>
      <c r="D531" s="160" t="s">
        <v>414</v>
      </c>
      <c r="E531" s="218" t="s">
        <v>7</v>
      </c>
      <c r="F531" s="37">
        <v>938</v>
      </c>
      <c r="G531" s="36">
        <v>0.05</v>
      </c>
      <c r="H531" s="37">
        <f>(G531*F531)+F531</f>
        <v>984.9</v>
      </c>
      <c r="I531" s="133">
        <v>2.5000000000000001E-2</v>
      </c>
      <c r="J531" s="240">
        <f>$J$491</f>
        <v>50</v>
      </c>
      <c r="K531" s="38">
        <f>I531*J531</f>
        <v>1.25</v>
      </c>
      <c r="L531" s="38">
        <v>1.17</v>
      </c>
      <c r="M531" s="39">
        <f>+L531+K531</f>
        <v>2.42</v>
      </c>
      <c r="N531" s="41">
        <f>H531*M531</f>
        <v>2383.4580000000001</v>
      </c>
      <c r="O531" s="9"/>
      <c r="P531" s="318">
        <f t="shared" si="421"/>
        <v>1231.125</v>
      </c>
      <c r="Q531" s="319">
        <f t="shared" si="422"/>
        <v>1152.3329999999999</v>
      </c>
      <c r="R531" s="9"/>
      <c r="S531" s="9"/>
      <c r="T531" s="9"/>
    </row>
    <row r="532" spans="1:20" ht="18" customHeight="1" x14ac:dyDescent="0.25">
      <c r="A532" s="84" t="str">
        <f>IF(G532&lt;&gt;"",1+MAX($A$2:A531),"")</f>
        <v/>
      </c>
      <c r="B532" s="173"/>
      <c r="C532" s="182"/>
      <c r="D532" s="226" t="s">
        <v>415</v>
      </c>
      <c r="E532" s="227"/>
      <c r="F532" s="64"/>
      <c r="G532" s="65"/>
      <c r="H532" s="37"/>
      <c r="I532" s="170"/>
      <c r="J532" s="242"/>
      <c r="K532" s="60"/>
      <c r="L532" s="60"/>
      <c r="M532" s="39"/>
      <c r="N532" s="41"/>
      <c r="O532" s="9"/>
      <c r="P532" s="318">
        <f t="shared" si="421"/>
        <v>0</v>
      </c>
      <c r="Q532" s="319">
        <f t="shared" si="422"/>
        <v>0</v>
      </c>
      <c r="R532" s="9"/>
      <c r="S532" s="9"/>
      <c r="T532" s="9"/>
    </row>
    <row r="533" spans="1:20" ht="15.75" x14ac:dyDescent="0.2">
      <c r="A533" s="67">
        <f>IF(G533&lt;&gt;"",1+MAX($A$2:A532),"")</f>
        <v>327</v>
      </c>
      <c r="B533" s="154" t="s">
        <v>367</v>
      </c>
      <c r="C533" s="149" t="s">
        <v>378</v>
      </c>
      <c r="D533" s="27" t="s">
        <v>416</v>
      </c>
      <c r="E533" s="218" t="s">
        <v>32</v>
      </c>
      <c r="F533" s="37">
        <v>1</v>
      </c>
      <c r="G533" s="36">
        <v>0</v>
      </c>
      <c r="H533" s="37">
        <f t="shared" ref="H533:H535" si="430">(G533*F533)+F533</f>
        <v>1</v>
      </c>
      <c r="I533" s="133">
        <v>0.68500000000000005</v>
      </c>
      <c r="J533" s="240">
        <f t="shared" ref="J533:J535" si="431">$J$491</f>
        <v>50</v>
      </c>
      <c r="K533" s="38">
        <f>I533*J533</f>
        <v>34.25</v>
      </c>
      <c r="L533" s="38">
        <v>234.5</v>
      </c>
      <c r="M533" s="39">
        <f>+L533+K533</f>
        <v>268.75</v>
      </c>
      <c r="N533" s="41">
        <f>H533*M533</f>
        <v>268.75</v>
      </c>
      <c r="O533" s="9"/>
      <c r="P533" s="318">
        <f t="shared" si="421"/>
        <v>34.25</v>
      </c>
      <c r="Q533" s="319">
        <f t="shared" si="422"/>
        <v>234.5</v>
      </c>
      <c r="R533" s="9"/>
      <c r="S533" s="9"/>
      <c r="T533" s="9"/>
    </row>
    <row r="534" spans="1:20" ht="47.25" x14ac:dyDescent="0.2">
      <c r="A534" s="67">
        <f>IF(G534&lt;&gt;"",1+MAX($A$2:A533),"")</f>
        <v>328</v>
      </c>
      <c r="B534" s="154" t="s">
        <v>367</v>
      </c>
      <c r="C534" s="149" t="s">
        <v>417</v>
      </c>
      <c r="D534" s="160" t="s">
        <v>418</v>
      </c>
      <c r="E534" s="218" t="s">
        <v>32</v>
      </c>
      <c r="F534" s="37">
        <v>3</v>
      </c>
      <c r="G534" s="36">
        <v>0</v>
      </c>
      <c r="H534" s="37">
        <f t="shared" si="430"/>
        <v>3</v>
      </c>
      <c r="I534" s="133">
        <v>0.75</v>
      </c>
      <c r="J534" s="240">
        <f t="shared" si="431"/>
        <v>50</v>
      </c>
      <c r="K534" s="38">
        <f>I534*J534</f>
        <v>37.5</v>
      </c>
      <c r="L534" s="38">
        <v>230</v>
      </c>
      <c r="M534" s="39">
        <f>+L534+K534</f>
        <v>267.5</v>
      </c>
      <c r="N534" s="41">
        <f>H534*M534</f>
        <v>802.5</v>
      </c>
      <c r="O534" s="9"/>
      <c r="P534" s="318">
        <f t="shared" si="421"/>
        <v>112.5</v>
      </c>
      <c r="Q534" s="319">
        <f t="shared" si="422"/>
        <v>690</v>
      </c>
      <c r="R534" s="9"/>
      <c r="S534" s="9"/>
      <c r="T534" s="9"/>
    </row>
    <row r="535" spans="1:20" ht="48" thickBot="1" x14ac:dyDescent="0.25">
      <c r="A535" s="67">
        <f>IF(G535&lt;&gt;"",1+MAX($A$2:A534),"")</f>
        <v>329</v>
      </c>
      <c r="B535" s="236" t="s">
        <v>553</v>
      </c>
      <c r="C535" s="327"/>
      <c r="D535" s="328" t="s">
        <v>619</v>
      </c>
      <c r="E535" s="204" t="s">
        <v>32</v>
      </c>
      <c r="F535" s="37">
        <v>8</v>
      </c>
      <c r="G535" s="36">
        <v>0</v>
      </c>
      <c r="H535" s="37">
        <f t="shared" si="430"/>
        <v>8</v>
      </c>
      <c r="I535" s="133">
        <v>1.1499999999999999</v>
      </c>
      <c r="J535" s="240">
        <f t="shared" si="431"/>
        <v>50</v>
      </c>
      <c r="K535" s="38">
        <f>I535*J535</f>
        <v>57.499999999999993</v>
      </c>
      <c r="L535" s="38">
        <v>521.54</v>
      </c>
      <c r="M535" s="39">
        <f>+L535+K535</f>
        <v>579.04</v>
      </c>
      <c r="N535" s="41">
        <f>H535*M535</f>
        <v>4632.32</v>
      </c>
      <c r="O535" s="9"/>
      <c r="P535" s="331">
        <f t="shared" ref="P535" si="432">K535*H535</f>
        <v>459.99999999999994</v>
      </c>
      <c r="Q535" s="332">
        <f t="shared" ref="Q535" si="433">L535*H535</f>
        <v>4172.32</v>
      </c>
      <c r="R535" s="9"/>
      <c r="S535" s="9"/>
      <c r="T535" s="9"/>
    </row>
    <row r="536" spans="1:20" s="1" customFormat="1" ht="15" customHeight="1" thickBot="1" x14ac:dyDescent="0.25">
      <c r="A536" s="42" t="str">
        <f>IF(G536&lt;&gt;"",1+MAX($A$2:A534),"")</f>
        <v/>
      </c>
      <c r="B536" s="152"/>
      <c r="C536" s="152"/>
      <c r="D536" s="43"/>
      <c r="E536" s="43"/>
      <c r="F536" s="43"/>
      <c r="G536" s="43"/>
      <c r="H536" s="43"/>
      <c r="I536" s="256"/>
      <c r="J536" s="241"/>
      <c r="K536" s="44"/>
      <c r="L536" s="44"/>
      <c r="M536" s="45" t="s">
        <v>22</v>
      </c>
      <c r="N536" s="46">
        <f>SUM(N488:N535)</f>
        <v>39204.90112576024</v>
      </c>
      <c r="O536" s="4"/>
      <c r="P536" s="333">
        <f>SUM(P22:P535)</f>
        <v>218904.41913531505</v>
      </c>
      <c r="Q536" s="334">
        <f>SUM(Q22:Q535)</f>
        <v>593413.33967990195</v>
      </c>
      <c r="R536" s="4"/>
    </row>
    <row r="537" spans="1:20" ht="16.5" thickBot="1" x14ac:dyDescent="0.25">
      <c r="A537" s="72" t="str">
        <f>IF(G537&lt;&gt;"",1+MAX($A$2:A536),"")</f>
        <v/>
      </c>
      <c r="B537" s="153"/>
      <c r="C537" s="144"/>
      <c r="D537" s="73"/>
      <c r="E537" s="74"/>
      <c r="F537" s="285"/>
      <c r="G537" s="75"/>
      <c r="H537" s="285"/>
      <c r="I537" s="286"/>
      <c r="J537" s="287"/>
      <c r="K537" s="76"/>
      <c r="L537" s="76"/>
      <c r="M537" s="288"/>
      <c r="N537" s="77"/>
      <c r="O537" s="9"/>
      <c r="P537" s="9"/>
      <c r="Q537" s="9"/>
      <c r="R537" s="9"/>
      <c r="S537" s="9"/>
      <c r="T537" s="9"/>
    </row>
    <row r="538" spans="1:20" ht="20.100000000000001" customHeight="1" x14ac:dyDescent="0.2">
      <c r="A538" s="377" t="s">
        <v>10</v>
      </c>
      <c r="B538" s="378"/>
      <c r="C538" s="378"/>
      <c r="D538" s="378"/>
      <c r="E538" s="378"/>
      <c r="F538" s="378"/>
      <c r="G538" s="378"/>
      <c r="H538" s="378"/>
      <c r="I538" s="378"/>
      <c r="J538" s="378"/>
      <c r="K538" s="378"/>
      <c r="L538" s="379"/>
      <c r="M538" s="315"/>
      <c r="N538" s="316">
        <f>SUM(N19,N59,N74,N81,N90,N111,N138,N185,N264,N271,N281,N330,N404,N456,N465,N485,N536)</f>
        <v>922046.50881521753</v>
      </c>
    </row>
    <row r="539" spans="1:20" ht="20.100000000000001" customHeight="1" x14ac:dyDescent="0.2">
      <c r="A539" s="113" t="s">
        <v>17</v>
      </c>
      <c r="B539" s="114"/>
      <c r="C539" s="114"/>
      <c r="D539" s="224"/>
      <c r="E539" s="224"/>
      <c r="F539" s="224"/>
      <c r="G539" s="224"/>
      <c r="H539" s="224"/>
      <c r="I539" s="258"/>
      <c r="J539" s="251"/>
      <c r="K539" s="224"/>
      <c r="L539" s="225"/>
      <c r="M539" s="115">
        <v>0.1</v>
      </c>
      <c r="N539" s="116">
        <f>N538*M539</f>
        <v>92204.650881521753</v>
      </c>
    </row>
    <row r="540" spans="1:20" ht="20.100000000000001" customHeight="1" x14ac:dyDescent="0.2">
      <c r="A540" s="117" t="s">
        <v>3</v>
      </c>
      <c r="B540" s="156"/>
      <c r="C540" s="156"/>
      <c r="D540" s="224"/>
      <c r="E540" s="224"/>
      <c r="F540" s="224"/>
      <c r="G540" s="224"/>
      <c r="H540" s="224"/>
      <c r="I540" s="258"/>
      <c r="J540" s="251"/>
      <c r="K540" s="224"/>
      <c r="L540" s="225"/>
      <c r="M540" s="118">
        <v>0.03</v>
      </c>
      <c r="N540" s="119">
        <f>N538*M540</f>
        <v>27661.395264456525</v>
      </c>
    </row>
    <row r="541" spans="1:20" ht="20.100000000000001" customHeight="1" x14ac:dyDescent="0.2">
      <c r="A541" s="117" t="s">
        <v>15</v>
      </c>
      <c r="B541" s="156"/>
      <c r="C541" s="156"/>
      <c r="D541" s="224"/>
      <c r="E541" s="224"/>
      <c r="F541" s="224"/>
      <c r="G541" s="224"/>
      <c r="H541" s="224"/>
      <c r="I541" s="258"/>
      <c r="J541" s="251"/>
      <c r="K541" s="224"/>
      <c r="L541" s="225"/>
      <c r="M541" s="118">
        <v>0.05</v>
      </c>
      <c r="N541" s="116">
        <f>N538*M541</f>
        <v>46102.325440760877</v>
      </c>
    </row>
    <row r="542" spans="1:20" ht="20.100000000000001" customHeight="1" thickBot="1" x14ac:dyDescent="0.25">
      <c r="A542" s="120" t="s">
        <v>24</v>
      </c>
      <c r="B542" s="157"/>
      <c r="C542" s="157"/>
      <c r="D542" s="121"/>
      <c r="E542" s="121"/>
      <c r="F542" s="121"/>
      <c r="G542" s="121"/>
      <c r="H542" s="121"/>
      <c r="I542" s="259"/>
      <c r="J542" s="252"/>
      <c r="K542" s="121"/>
      <c r="L542" s="122"/>
      <c r="M542" s="123">
        <v>0.06</v>
      </c>
      <c r="N542" s="124">
        <f>Q536*M542</f>
        <v>35604.800380794113</v>
      </c>
    </row>
    <row r="543" spans="1:20" ht="20.100000000000001" customHeight="1" thickBot="1" x14ac:dyDescent="0.25">
      <c r="A543" s="373" t="s">
        <v>11</v>
      </c>
      <c r="B543" s="374"/>
      <c r="C543" s="374"/>
      <c r="D543" s="375"/>
      <c r="E543" s="375"/>
      <c r="F543" s="375"/>
      <c r="G543" s="375"/>
      <c r="H543" s="375"/>
      <c r="I543" s="375"/>
      <c r="J543" s="375"/>
      <c r="K543" s="375"/>
      <c r="L543" s="375"/>
      <c r="M543" s="376"/>
      <c r="N543" s="317">
        <f>N538+N539+N540+N541+N542</f>
        <v>1123619.6807827507</v>
      </c>
      <c r="O543" s="389"/>
    </row>
  </sheetData>
  <mergeCells count="121">
    <mergeCell ref="B445:B451"/>
    <mergeCell ref="C445:C451"/>
    <mergeCell ref="B460:B464"/>
    <mergeCell ref="C461:C464"/>
    <mergeCell ref="B411:B414"/>
    <mergeCell ref="C411:C414"/>
    <mergeCell ref="B420:B426"/>
    <mergeCell ref="C420:C426"/>
    <mergeCell ref="B431:B438"/>
    <mergeCell ref="C431:C438"/>
    <mergeCell ref="B393:B397"/>
    <mergeCell ref="C393:C397"/>
    <mergeCell ref="B399:B403"/>
    <mergeCell ref="B370:B376"/>
    <mergeCell ref="C370:C376"/>
    <mergeCell ref="B377:B380"/>
    <mergeCell ref="B382:B386"/>
    <mergeCell ref="C382:C386"/>
    <mergeCell ref="B442:B443"/>
    <mergeCell ref="C442:C443"/>
    <mergeCell ref="B351:B353"/>
    <mergeCell ref="B360:B367"/>
    <mergeCell ref="C360:C361"/>
    <mergeCell ref="C363:C367"/>
    <mergeCell ref="B307:B313"/>
    <mergeCell ref="C307:C308"/>
    <mergeCell ref="B315:B319"/>
    <mergeCell ref="C315:C319"/>
    <mergeCell ref="B321:B322"/>
    <mergeCell ref="B335:B337"/>
    <mergeCell ref="B339:B343"/>
    <mergeCell ref="C339:C349"/>
    <mergeCell ref="B344:B349"/>
    <mergeCell ref="B286:B296"/>
    <mergeCell ref="C286:C289"/>
    <mergeCell ref="C293:C296"/>
    <mergeCell ref="B299:B301"/>
    <mergeCell ref="C163:C171"/>
    <mergeCell ref="B163:B171"/>
    <mergeCell ref="A2:N2"/>
    <mergeCell ref="A543:M543"/>
    <mergeCell ref="A538:L538"/>
    <mergeCell ref="C262:C263"/>
    <mergeCell ref="B262:B263"/>
    <mergeCell ref="C43:C45"/>
    <mergeCell ref="B43:B45"/>
    <mergeCell ref="C46:C47"/>
    <mergeCell ref="C275:C277"/>
    <mergeCell ref="B275:B277"/>
    <mergeCell ref="C251:C256"/>
    <mergeCell ref="C23:C42"/>
    <mergeCell ref="B23:B42"/>
    <mergeCell ref="B136:B137"/>
    <mergeCell ref="D101:E101"/>
    <mergeCell ref="B103:B109"/>
    <mergeCell ref="C103:C109"/>
    <mergeCell ref="B325:B329"/>
    <mergeCell ref="D110:F110"/>
    <mergeCell ref="B63:B73"/>
    <mergeCell ref="C64:C67"/>
    <mergeCell ref="C69:C71"/>
    <mergeCell ref="D77:E77"/>
    <mergeCell ref="B78:B79"/>
    <mergeCell ref="C78:C80"/>
    <mergeCell ref="D278:E278"/>
    <mergeCell ref="B279:B280"/>
    <mergeCell ref="C279:C280"/>
    <mergeCell ref="B228:B238"/>
    <mergeCell ref="D240:E240"/>
    <mergeCell ref="B240:B250"/>
    <mergeCell ref="C241:C248"/>
    <mergeCell ref="B251:B256"/>
    <mergeCell ref="C228:C230"/>
    <mergeCell ref="D236:E236"/>
    <mergeCell ref="B116:B119"/>
    <mergeCell ref="B121:B124"/>
    <mergeCell ref="B131:B132"/>
    <mergeCell ref="D267:E267"/>
    <mergeCell ref="B268:B270"/>
    <mergeCell ref="D269:E269"/>
    <mergeCell ref="C136:C137"/>
    <mergeCell ref="D226:E226"/>
    <mergeCell ref="C142:C148"/>
    <mergeCell ref="C158:C160"/>
    <mergeCell ref="B158:B160"/>
    <mergeCell ref="C173:C180"/>
    <mergeCell ref="B173:B180"/>
    <mergeCell ref="B142:B148"/>
    <mergeCell ref="B150:B154"/>
    <mergeCell ref="C150:C152"/>
    <mergeCell ref="C153:C154"/>
    <mergeCell ref="B48:B52"/>
    <mergeCell ref="B57:B58"/>
    <mergeCell ref="C57:C58"/>
    <mergeCell ref="B183:B184"/>
    <mergeCell ref="B189:B225"/>
    <mergeCell ref="C189:C201"/>
    <mergeCell ref="C202:C213"/>
    <mergeCell ref="C214:C225"/>
    <mergeCell ref="B98:B100"/>
    <mergeCell ref="C99:C100"/>
    <mergeCell ref="B474:B476"/>
    <mergeCell ref="C474:C476"/>
    <mergeCell ref="B478:B479"/>
    <mergeCell ref="C478:C480"/>
    <mergeCell ref="B482:B484"/>
    <mergeCell ref="C482:C484"/>
    <mergeCell ref="B491:B493"/>
    <mergeCell ref="C491:C493"/>
    <mergeCell ref="B497:B501"/>
    <mergeCell ref="C497:C501"/>
    <mergeCell ref="B503:B505"/>
    <mergeCell ref="B523:B526"/>
    <mergeCell ref="C523:C526"/>
    <mergeCell ref="B528:B531"/>
    <mergeCell ref="C528:C531"/>
    <mergeCell ref="B507:B509"/>
    <mergeCell ref="C507:C509"/>
    <mergeCell ref="C516:C517"/>
    <mergeCell ref="B518:B519"/>
    <mergeCell ref="C518:C519"/>
  </mergeCells>
  <printOptions horizontalCentered="1"/>
  <pageMargins left="0.7" right="0.7" top="0.75" bottom="0.75" header="0.3" footer="0.3"/>
  <pageSetup paperSize="9" scale="54" fitToHeight="0" orientation="landscape" r:id="rId1"/>
  <headerFooter scaleWithDoc="0" alignWithMargins="0"/>
  <rowBreaks count="1" manualBreakCount="1">
    <brk id="531" max="13" man="1"/>
  </rowBreaks>
  <ignoredErrors>
    <ignoredError sqref="F117 K143 K145 L177 K243:K247" formula="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84216C5C-9B9E-4B87-989D-CB2A7370C2CC}">
  <ds:schemaRefs>
    <ds:schemaRef ds:uri="http://www.w3.org/2001/XMLSchem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General Summary</vt:lpstr>
      <vt:lpstr>Takeoff Breakdown</vt:lpstr>
      <vt:lpstr>'General Summary'!Print_Area</vt:lpstr>
      <vt:lpstr>'Takeoff Breakdown'!Print_Area</vt:lpstr>
      <vt:lpstr>'Takeoff Breakdown'!Print_Titles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NEDES</dc:creator>
  <cp:lastModifiedBy>Evening</cp:lastModifiedBy>
  <cp:lastPrinted>2023-11-03T19:07:33Z</cp:lastPrinted>
  <dcterms:created xsi:type="dcterms:W3CDTF">2016-03-30T11:57:46Z</dcterms:created>
  <dcterms:modified xsi:type="dcterms:W3CDTF">2023-11-03T20:27:09Z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S9Connected">
    <vt:bool>true</vt:bool>
  </property>
  <property fmtid="{D5CDD505-2E9C-101B-9397-08002B2CF9AE}" pid="3" name="PlanSwiftJobName">
    <vt:lpwstr/>
  </property>
  <property fmtid="{D5CDD505-2E9C-101B-9397-08002B2CF9AE}" pid="4" name="PlanSwiftJobGuid">
    <vt:lpwstr/>
  </property>
  <property fmtid="{D5CDD505-2E9C-101B-9397-08002B2CF9AE}" pid="5" name="LinkedDataId">
    <vt:lpwstr>{84216C5C-9B9E-4B87-989D-CB2A7370C2CC}</vt:lpwstr>
  </property>
</Properties>
</file>